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2"/>
  <workbookPr/>
  <mc:AlternateContent xmlns:mc="http://schemas.openxmlformats.org/markup-compatibility/2006">
    <mc:Choice Requires="x15">
      <x15ac:absPath xmlns:x15ac="http://schemas.microsoft.com/office/spreadsheetml/2010/11/ac" url="\\172.16.7.22\share\01 国保運営担当\03 賦課\01 当初賦課\令和8年度\01_【4月末提出〆】広報\02 Webサイト更新\"/>
    </mc:Choice>
  </mc:AlternateContent>
  <xr:revisionPtr revIDLastSave="0" documentId="8_{36552BC4-756F-42C3-931B-5BCBCBE99558}" xr6:coauthVersionLast="36" xr6:coauthVersionMax="36" xr10:uidLastSave="{00000000-0000-0000-0000-000000000000}"/>
  <bookViews>
    <workbookView xWindow="0" yWindow="0" windowWidth="18576" windowHeight="8196" xr2:uid="{00000000-000D-0000-FFFF-FFFF00000000}"/>
  </bookViews>
  <sheets>
    <sheet name="入力・結果表示シート" sheetId="2" r:id="rId1"/>
    <sheet name="計算シート" sheetId="1" r:id="rId2"/>
  </sheets>
  <definedNames>
    <definedName name="_xlnm.Print_Area" localSheetId="0">入力・結果表示シート!$A$1:$X$52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66" i="1" l="1"/>
  <c r="AL166" i="1"/>
  <c r="AK166" i="1"/>
  <c r="AJ166" i="1"/>
  <c r="AI166" i="1"/>
  <c r="AH166" i="1"/>
  <c r="AG166" i="1"/>
  <c r="AF166" i="1"/>
  <c r="AE166" i="1"/>
  <c r="AD166" i="1"/>
  <c r="AC166" i="1"/>
  <c r="AB166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X92" i="1"/>
  <c r="W92" i="1"/>
  <c r="V92" i="1"/>
  <c r="U92" i="1"/>
  <c r="T92" i="1"/>
  <c r="X91" i="1"/>
  <c r="W91" i="1"/>
  <c r="V91" i="1"/>
  <c r="U91" i="1"/>
  <c r="T91" i="1"/>
  <c r="X90" i="1"/>
  <c r="W90" i="1"/>
  <c r="V90" i="1"/>
  <c r="U90" i="1"/>
  <c r="T90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X85" i="1"/>
  <c r="W85" i="1"/>
  <c r="V85" i="1"/>
  <c r="U85" i="1"/>
  <c r="T85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X84" i="1"/>
  <c r="W84" i="1"/>
  <c r="V84" i="1"/>
  <c r="U84" i="1"/>
  <c r="T84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X80" i="1"/>
  <c r="W80" i="1"/>
  <c r="V80" i="1"/>
  <c r="U80" i="1"/>
  <c r="T80" i="1"/>
  <c r="S80" i="1"/>
  <c r="X79" i="1"/>
  <c r="W79" i="1"/>
  <c r="V79" i="1"/>
  <c r="U79" i="1"/>
  <c r="T79" i="1"/>
  <c r="S79" i="1"/>
  <c r="X78" i="1"/>
  <c r="W78" i="1"/>
  <c r="V78" i="1"/>
  <c r="U78" i="1"/>
  <c r="T78" i="1"/>
  <c r="S78" i="1"/>
  <c r="X77" i="1"/>
  <c r="W77" i="1"/>
  <c r="V77" i="1"/>
  <c r="U77" i="1"/>
  <c r="T77" i="1"/>
  <c r="S77" i="1"/>
  <c r="X76" i="1"/>
  <c r="W76" i="1"/>
  <c r="V76" i="1"/>
  <c r="U76" i="1"/>
  <c r="T76" i="1"/>
  <c r="S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X75" i="1"/>
  <c r="W75" i="1"/>
  <c r="V75" i="1"/>
  <c r="U75" i="1"/>
  <c r="T75" i="1"/>
  <c r="S75" i="1"/>
  <c r="X74" i="1"/>
  <c r="W74" i="1"/>
  <c r="V74" i="1"/>
  <c r="U74" i="1"/>
  <c r="T74" i="1"/>
  <c r="S74" i="1"/>
  <c r="X73" i="1"/>
  <c r="W73" i="1"/>
  <c r="V73" i="1"/>
  <c r="U73" i="1"/>
  <c r="T73" i="1"/>
  <c r="S73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X72" i="1"/>
  <c r="W72" i="1"/>
  <c r="V72" i="1"/>
  <c r="U72" i="1"/>
  <c r="T72" i="1"/>
  <c r="S72" i="1"/>
  <c r="X71" i="1"/>
  <c r="W71" i="1"/>
  <c r="V71" i="1"/>
  <c r="U71" i="1"/>
  <c r="T71" i="1"/>
  <c r="S71" i="1"/>
  <c r="X70" i="1"/>
  <c r="W70" i="1"/>
  <c r="V70" i="1"/>
  <c r="U70" i="1"/>
  <c r="T70" i="1"/>
  <c r="S70" i="1"/>
  <c r="X69" i="1"/>
  <c r="W69" i="1"/>
  <c r="V69" i="1"/>
  <c r="U69" i="1"/>
  <c r="T69" i="1"/>
  <c r="S69" i="1"/>
  <c r="X68" i="1"/>
  <c r="W68" i="1"/>
  <c r="V68" i="1"/>
  <c r="U68" i="1"/>
  <c r="T68" i="1"/>
  <c r="S68" i="1"/>
  <c r="X67" i="1"/>
  <c r="W67" i="1"/>
  <c r="V67" i="1"/>
  <c r="U67" i="1"/>
  <c r="T67" i="1"/>
  <c r="S67" i="1"/>
  <c r="X62" i="1"/>
  <c r="W62" i="1"/>
  <c r="V62" i="1"/>
  <c r="U62" i="1"/>
  <c r="T62" i="1"/>
  <c r="S62" i="1"/>
  <c r="X61" i="1"/>
  <c r="W61" i="1"/>
  <c r="V61" i="1"/>
  <c r="U61" i="1"/>
  <c r="T61" i="1"/>
  <c r="S61" i="1"/>
  <c r="X60" i="1"/>
  <c r="W60" i="1"/>
  <c r="V60" i="1"/>
  <c r="U60" i="1"/>
  <c r="T60" i="1"/>
  <c r="S60" i="1"/>
  <c r="X59" i="1"/>
  <c r="W59" i="1"/>
  <c r="V59" i="1"/>
  <c r="U59" i="1"/>
  <c r="T59" i="1"/>
  <c r="S59" i="1"/>
  <c r="X58" i="1"/>
  <c r="W58" i="1"/>
  <c r="V58" i="1"/>
  <c r="U58" i="1"/>
  <c r="T58" i="1"/>
  <c r="S58" i="1"/>
  <c r="K58" i="1"/>
  <c r="H58" i="1"/>
  <c r="E58" i="1"/>
  <c r="B58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X57" i="1"/>
  <c r="W57" i="1"/>
  <c r="V57" i="1"/>
  <c r="U57" i="1"/>
  <c r="T57" i="1"/>
  <c r="S57" i="1"/>
  <c r="K57" i="1"/>
  <c r="H57" i="1"/>
  <c r="E57" i="1"/>
  <c r="B57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X56" i="1"/>
  <c r="W56" i="1"/>
  <c r="V56" i="1"/>
  <c r="U56" i="1"/>
  <c r="T56" i="1"/>
  <c r="S56" i="1"/>
  <c r="K56" i="1"/>
  <c r="H56" i="1"/>
  <c r="E56" i="1"/>
  <c r="B56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X55" i="1"/>
  <c r="W55" i="1"/>
  <c r="V55" i="1"/>
  <c r="U55" i="1"/>
  <c r="T55" i="1"/>
  <c r="S55" i="1"/>
  <c r="K55" i="1"/>
  <c r="H55" i="1"/>
  <c r="E55" i="1"/>
  <c r="B55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X54" i="1"/>
  <c r="W54" i="1"/>
  <c r="V54" i="1"/>
  <c r="U54" i="1"/>
  <c r="T54" i="1"/>
  <c r="S54" i="1"/>
  <c r="K54" i="1"/>
  <c r="H54" i="1"/>
  <c r="E54" i="1"/>
  <c r="B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X53" i="1"/>
  <c r="W53" i="1"/>
  <c r="V53" i="1"/>
  <c r="U53" i="1"/>
  <c r="T53" i="1"/>
  <c r="S53" i="1"/>
  <c r="X52" i="1"/>
  <c r="W52" i="1"/>
  <c r="V52" i="1"/>
  <c r="U52" i="1"/>
  <c r="T52" i="1"/>
  <c r="S52" i="1"/>
  <c r="X51" i="1"/>
  <c r="W51" i="1"/>
  <c r="V51" i="1"/>
  <c r="U51" i="1"/>
  <c r="T51" i="1"/>
  <c r="S51" i="1"/>
  <c r="X50" i="1"/>
  <c r="W50" i="1"/>
  <c r="V50" i="1"/>
  <c r="U50" i="1"/>
  <c r="T50" i="1"/>
  <c r="S50" i="1"/>
  <c r="X49" i="1"/>
  <c r="W49" i="1"/>
  <c r="V49" i="1"/>
  <c r="U49" i="1"/>
  <c r="T49" i="1"/>
  <c r="S49" i="1"/>
  <c r="AB48" i="1"/>
  <c r="AN47" i="1"/>
  <c r="AB47" i="1"/>
  <c r="AN46" i="1"/>
  <c r="AB46" i="1"/>
  <c r="AN45" i="1"/>
  <c r="AB45" i="1"/>
  <c r="AN44" i="1"/>
  <c r="AB44" i="1"/>
  <c r="AN43" i="1"/>
  <c r="AB43" i="1"/>
  <c r="AN42" i="1"/>
  <c r="AB42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E36" i="1"/>
  <c r="D36" i="1"/>
  <c r="B36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X35" i="1"/>
  <c r="W35" i="1"/>
  <c r="V35" i="1"/>
  <c r="U35" i="1"/>
  <c r="T35" i="1"/>
  <c r="S35" i="1"/>
  <c r="E35" i="1"/>
  <c r="D35" i="1"/>
  <c r="B35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X34" i="1"/>
  <c r="W34" i="1"/>
  <c r="V34" i="1"/>
  <c r="U34" i="1"/>
  <c r="T34" i="1"/>
  <c r="S34" i="1"/>
  <c r="E34" i="1"/>
  <c r="D34" i="1"/>
  <c r="B34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X33" i="1"/>
  <c r="W33" i="1"/>
  <c r="V33" i="1"/>
  <c r="U33" i="1"/>
  <c r="T33" i="1"/>
  <c r="S33" i="1"/>
  <c r="E33" i="1"/>
  <c r="D33" i="1"/>
  <c r="B33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X32" i="1"/>
  <c r="W32" i="1"/>
  <c r="V32" i="1"/>
  <c r="U32" i="1"/>
  <c r="T32" i="1"/>
  <c r="S32" i="1"/>
  <c r="E32" i="1"/>
  <c r="D32" i="1"/>
  <c r="B32" i="1"/>
  <c r="X31" i="1"/>
  <c r="W31" i="1"/>
  <c r="V31" i="1"/>
  <c r="U31" i="1"/>
  <c r="T31" i="1"/>
  <c r="S31" i="1"/>
  <c r="E31" i="1"/>
  <c r="D31" i="1"/>
  <c r="B31" i="1"/>
  <c r="X30" i="1"/>
  <c r="W30" i="1"/>
  <c r="V30" i="1"/>
  <c r="U30" i="1"/>
  <c r="T30" i="1"/>
  <c r="S30" i="1"/>
  <c r="X29" i="1"/>
  <c r="W29" i="1"/>
  <c r="V29" i="1"/>
  <c r="U29" i="1"/>
  <c r="T29" i="1"/>
  <c r="S29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X28" i="1"/>
  <c r="W28" i="1"/>
  <c r="V28" i="1"/>
  <c r="U28" i="1"/>
  <c r="T28" i="1"/>
  <c r="S28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X27" i="1"/>
  <c r="W27" i="1"/>
  <c r="V27" i="1"/>
  <c r="U27" i="1"/>
  <c r="T27" i="1"/>
  <c r="S27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X26" i="1"/>
  <c r="W26" i="1"/>
  <c r="V26" i="1"/>
  <c r="U26" i="1"/>
  <c r="T26" i="1"/>
  <c r="S26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X25" i="1"/>
  <c r="W25" i="1"/>
  <c r="V25" i="1"/>
  <c r="U25" i="1"/>
  <c r="T25" i="1"/>
  <c r="S25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X24" i="1"/>
  <c r="W24" i="1"/>
  <c r="V24" i="1"/>
  <c r="U24" i="1"/>
  <c r="T24" i="1"/>
  <c r="S24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X23" i="1"/>
  <c r="W23" i="1"/>
  <c r="V23" i="1"/>
  <c r="U23" i="1"/>
  <c r="T23" i="1"/>
  <c r="S23" i="1"/>
  <c r="B23" i="1"/>
  <c r="X22" i="1"/>
  <c r="W22" i="1"/>
  <c r="V22" i="1"/>
  <c r="U22" i="1"/>
  <c r="T22" i="1"/>
  <c r="S22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G18" i="1"/>
  <c r="F18" i="1"/>
  <c r="E18" i="1"/>
  <c r="D18" i="1"/>
  <c r="C18" i="1"/>
  <c r="B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G17" i="1"/>
  <c r="F17" i="1"/>
  <c r="E17" i="1"/>
  <c r="D17" i="1"/>
  <c r="C17" i="1"/>
  <c r="B17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G16" i="1"/>
  <c r="F16" i="1"/>
  <c r="E16" i="1"/>
  <c r="D16" i="1"/>
  <c r="C16" i="1"/>
  <c r="B16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X15" i="1"/>
  <c r="W15" i="1"/>
  <c r="V15" i="1"/>
  <c r="U15" i="1"/>
  <c r="T15" i="1"/>
  <c r="G15" i="1"/>
  <c r="F15" i="1"/>
  <c r="E15" i="1"/>
  <c r="D15" i="1"/>
  <c r="C15" i="1"/>
  <c r="B15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G14" i="1"/>
  <c r="F14" i="1"/>
  <c r="E14" i="1"/>
  <c r="D14" i="1"/>
  <c r="C14" i="1"/>
  <c r="B14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F13" i="1"/>
  <c r="C13" i="1"/>
  <c r="B13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X9" i="1"/>
  <c r="W9" i="1"/>
  <c r="V9" i="1"/>
  <c r="U9" i="1"/>
  <c r="T9" i="1"/>
  <c r="AM8" i="1"/>
  <c r="AL8" i="1"/>
  <c r="AK8" i="1"/>
  <c r="AJ8" i="1"/>
  <c r="AI8" i="1"/>
  <c r="AH8" i="1"/>
  <c r="AG8" i="1"/>
  <c r="AF8" i="1"/>
  <c r="AE8" i="1"/>
  <c r="AD8" i="1"/>
  <c r="AC8" i="1"/>
  <c r="AB8" i="1"/>
  <c r="X8" i="1"/>
  <c r="W8" i="1"/>
  <c r="V8" i="1"/>
  <c r="U8" i="1"/>
  <c r="T8" i="1"/>
  <c r="S8" i="1"/>
  <c r="G8" i="1"/>
  <c r="F8" i="1"/>
  <c r="E8" i="1"/>
  <c r="D8" i="1"/>
  <c r="C8" i="1"/>
  <c r="B8" i="1"/>
  <c r="AM7" i="1"/>
  <c r="AL7" i="1"/>
  <c r="AK7" i="1"/>
  <c r="AJ7" i="1"/>
  <c r="AI7" i="1"/>
  <c r="AH7" i="1"/>
  <c r="AG7" i="1"/>
  <c r="AF7" i="1"/>
  <c r="AE7" i="1"/>
  <c r="AD7" i="1"/>
  <c r="AC7" i="1"/>
  <c r="AB7" i="1"/>
  <c r="X7" i="1"/>
  <c r="W7" i="1"/>
  <c r="V7" i="1"/>
  <c r="U7" i="1"/>
  <c r="T7" i="1"/>
  <c r="G7" i="1"/>
  <c r="F7" i="1"/>
  <c r="E7" i="1"/>
  <c r="D7" i="1"/>
  <c r="C7" i="1"/>
  <c r="B7" i="1"/>
  <c r="AM6" i="1"/>
  <c r="AL6" i="1"/>
  <c r="AK6" i="1"/>
  <c r="AJ6" i="1"/>
  <c r="AI6" i="1"/>
  <c r="AH6" i="1"/>
  <c r="AG6" i="1"/>
  <c r="AF6" i="1"/>
  <c r="AE6" i="1"/>
  <c r="AD6" i="1"/>
  <c r="AC6" i="1"/>
  <c r="AB6" i="1"/>
  <c r="X6" i="1"/>
  <c r="W6" i="1"/>
  <c r="V6" i="1"/>
  <c r="U6" i="1"/>
  <c r="T6" i="1"/>
  <c r="G6" i="1"/>
  <c r="F6" i="1"/>
  <c r="E6" i="1"/>
  <c r="D6" i="1"/>
  <c r="C6" i="1"/>
  <c r="B6" i="1"/>
  <c r="AM5" i="1"/>
  <c r="AL5" i="1"/>
  <c r="AK5" i="1"/>
  <c r="AJ5" i="1"/>
  <c r="AI5" i="1"/>
  <c r="AH5" i="1"/>
  <c r="AG5" i="1"/>
  <c r="AF5" i="1"/>
  <c r="AE5" i="1"/>
  <c r="AD5" i="1"/>
  <c r="AC5" i="1"/>
  <c r="AB5" i="1"/>
  <c r="X5" i="1"/>
  <c r="W5" i="1"/>
  <c r="V5" i="1"/>
  <c r="U5" i="1"/>
  <c r="T5" i="1"/>
  <c r="G5" i="1"/>
  <c r="F5" i="1"/>
  <c r="E5" i="1"/>
  <c r="D5" i="1"/>
  <c r="C5" i="1"/>
  <c r="B5" i="1"/>
  <c r="AM4" i="1"/>
  <c r="AL4" i="1"/>
  <c r="AK4" i="1"/>
  <c r="AJ4" i="1"/>
  <c r="AI4" i="1"/>
  <c r="AH4" i="1"/>
  <c r="AG4" i="1"/>
  <c r="AF4" i="1"/>
  <c r="AE4" i="1"/>
  <c r="AD4" i="1"/>
  <c r="AC4" i="1"/>
  <c r="AB4" i="1"/>
  <c r="X4" i="1"/>
  <c r="W4" i="1"/>
  <c r="V4" i="1"/>
  <c r="U4" i="1"/>
  <c r="T4" i="1"/>
  <c r="G4" i="1"/>
  <c r="F4" i="1"/>
  <c r="E4" i="1"/>
  <c r="D4" i="1"/>
  <c r="C4" i="1"/>
  <c r="B4" i="1"/>
  <c r="AM3" i="1"/>
  <c r="AL3" i="1"/>
  <c r="AK3" i="1"/>
  <c r="AJ3" i="1"/>
  <c r="AI3" i="1"/>
  <c r="AH3" i="1"/>
  <c r="AG3" i="1"/>
  <c r="AF3" i="1"/>
  <c r="AE3" i="1"/>
  <c r="AD3" i="1"/>
  <c r="AC3" i="1"/>
  <c r="AB3" i="1"/>
  <c r="X3" i="1"/>
  <c r="W3" i="1"/>
  <c r="V3" i="1"/>
  <c r="U3" i="1"/>
  <c r="T3" i="1"/>
  <c r="S3" i="1"/>
  <c r="S5" i="1" s="1"/>
  <c r="F3" i="1"/>
  <c r="G3" i="1" s="1"/>
  <c r="D3" i="1"/>
  <c r="Y35" i="2"/>
  <c r="Y34" i="2"/>
  <c r="Y33" i="2"/>
  <c r="Y32" i="2"/>
  <c r="Y31" i="2"/>
  <c r="Y30" i="2"/>
  <c r="X30" i="2"/>
  <c r="Y29" i="2"/>
  <c r="X29" i="2"/>
  <c r="S6" i="1" l="1"/>
  <c r="AN72" i="1"/>
  <c r="D53" i="1" s="1"/>
  <c r="D59" i="1" s="1"/>
  <c r="D39" i="2" s="1"/>
  <c r="AN159" i="1"/>
  <c r="M53" i="1" s="1"/>
  <c r="M59" i="1" s="1"/>
  <c r="Q39" i="2" s="1"/>
  <c r="AK139" i="1"/>
  <c r="AK145" i="1" s="1"/>
  <c r="AC139" i="1"/>
  <c r="AC145" i="1" s="1"/>
  <c r="AM110" i="1"/>
  <c r="AM116" i="1" s="1"/>
  <c r="AE110" i="1"/>
  <c r="AE116" i="1" s="1"/>
  <c r="AM81" i="1"/>
  <c r="AM87" i="1" s="1"/>
  <c r="AE81" i="1"/>
  <c r="AE87" i="1" s="1"/>
  <c r="AJ139" i="1"/>
  <c r="AJ145" i="1" s="1"/>
  <c r="AB139" i="1"/>
  <c r="AL110" i="1"/>
  <c r="AL116" i="1" s="1"/>
  <c r="AD110" i="1"/>
  <c r="AD116" i="1" s="1"/>
  <c r="AL81" i="1"/>
  <c r="AL87" i="1" s="1"/>
  <c r="AD81" i="1"/>
  <c r="AD87" i="1" s="1"/>
  <c r="AH139" i="1"/>
  <c r="AH145" i="1" s="1"/>
  <c r="AJ110" i="1"/>
  <c r="AJ116" i="1" s="1"/>
  <c r="AB110" i="1"/>
  <c r="AJ81" i="1"/>
  <c r="AJ87" i="1" s="1"/>
  <c r="AB81" i="1"/>
  <c r="AG139" i="1"/>
  <c r="AG145" i="1" s="1"/>
  <c r="AI110" i="1"/>
  <c r="AI116" i="1" s="1"/>
  <c r="AI81" i="1"/>
  <c r="AI87" i="1" s="1"/>
  <c r="AM139" i="1"/>
  <c r="AM145" i="1" s="1"/>
  <c r="AE139" i="1"/>
  <c r="AE145" i="1" s="1"/>
  <c r="AG110" i="1"/>
  <c r="AG116" i="1" s="1"/>
  <c r="AG81" i="1"/>
  <c r="AG87" i="1" s="1"/>
  <c r="AD139" i="1"/>
  <c r="AD145" i="1" s="1"/>
  <c r="AC110" i="1"/>
  <c r="AC116" i="1" s="1"/>
  <c r="AF81" i="1"/>
  <c r="AF87" i="1" s="1"/>
  <c r="AG52" i="1"/>
  <c r="AG58" i="1" s="1"/>
  <c r="AC81" i="1"/>
  <c r="AC87" i="1" s="1"/>
  <c r="AF52" i="1"/>
  <c r="AF58" i="1" s="1"/>
  <c r="AM52" i="1"/>
  <c r="AM58" i="1" s="1"/>
  <c r="AE52" i="1"/>
  <c r="AE58" i="1" s="1"/>
  <c r="AL52" i="1"/>
  <c r="AL58" i="1" s="1"/>
  <c r="AD52" i="1"/>
  <c r="AD58" i="1" s="1"/>
  <c r="AK52" i="1"/>
  <c r="AK58" i="1" s="1"/>
  <c r="AC52" i="1"/>
  <c r="AC58" i="1" s="1"/>
  <c r="G9" i="1"/>
  <c r="AI139" i="1"/>
  <c r="AI145" i="1" s="1"/>
  <c r="AK81" i="1"/>
  <c r="AK87" i="1" s="1"/>
  <c r="AI52" i="1"/>
  <c r="AI58" i="1" s="1"/>
  <c r="AL139" i="1"/>
  <c r="AL145" i="1" s="1"/>
  <c r="AK110" i="1"/>
  <c r="AK116" i="1" s="1"/>
  <c r="AJ52" i="1"/>
  <c r="AJ58" i="1" s="1"/>
  <c r="AB52" i="1"/>
  <c r="AH110" i="1"/>
  <c r="AH116" i="1" s="1"/>
  <c r="AF139" i="1"/>
  <c r="AF145" i="1" s="1"/>
  <c r="AF110" i="1"/>
  <c r="AF116" i="1" s="1"/>
  <c r="AH81" i="1"/>
  <c r="AH87" i="1" s="1"/>
  <c r="AH52" i="1"/>
  <c r="AH58" i="1" s="1"/>
  <c r="S7" i="1"/>
  <c r="AN101" i="1"/>
  <c r="G53" i="1" s="1"/>
  <c r="G59" i="1" s="1"/>
  <c r="H39" i="2" s="1"/>
  <c r="AN130" i="1"/>
  <c r="J53" i="1" s="1"/>
  <c r="J59" i="1" s="1"/>
  <c r="L39" i="2" s="1"/>
  <c r="S4" i="1"/>
  <c r="S9" i="1"/>
  <c r="AB87" i="1" l="1"/>
  <c r="AN81" i="1"/>
  <c r="E53" i="1" s="1"/>
  <c r="E59" i="1" s="1"/>
  <c r="H37" i="2" s="1"/>
  <c r="AB145" i="1"/>
  <c r="AN139" i="1"/>
  <c r="K53" i="1" s="1"/>
  <c r="K59" i="1" s="1"/>
  <c r="Q37" i="2" s="1"/>
  <c r="S15" i="1"/>
  <c r="AN52" i="1"/>
  <c r="B53" i="1" s="1"/>
  <c r="B59" i="1" s="1"/>
  <c r="D37" i="2" s="1"/>
  <c r="AB58" i="1"/>
  <c r="AB116" i="1"/>
  <c r="AN110" i="1"/>
  <c r="H53" i="1" s="1"/>
  <c r="H59" i="1" s="1"/>
  <c r="L37" i="2" s="1"/>
  <c r="AN58" i="1" l="1"/>
  <c r="AN145" i="1"/>
  <c r="AN87" i="1"/>
  <c r="AN116" i="1"/>
  <c r="S90" i="1"/>
  <c r="B3" i="1"/>
  <c r="S84" i="1" l="1"/>
  <c r="S85" i="1" s="1"/>
  <c r="S91" i="1" l="1"/>
  <c r="S92" i="1" s="1"/>
  <c r="E3" i="1" s="1"/>
  <c r="C3" i="1"/>
  <c r="D13" i="1" s="1"/>
  <c r="G13" i="1" l="1"/>
  <c r="C23" i="1" s="1"/>
  <c r="D25" i="1" s="1"/>
  <c r="E13" i="1"/>
  <c r="E19" i="1" s="1"/>
  <c r="E25" i="1" l="1"/>
  <c r="D23" i="1"/>
  <c r="E23" i="1" s="1"/>
  <c r="G25" i="1" s="1"/>
  <c r="D24" i="1"/>
  <c r="E24" i="1" s="1"/>
  <c r="AG154" i="1" l="1"/>
  <c r="AL153" i="1"/>
  <c r="AD153" i="1"/>
  <c r="AI152" i="1"/>
  <c r="AF151" i="1"/>
  <c r="AK150" i="1"/>
  <c r="AC150" i="1"/>
  <c r="AH149" i="1"/>
  <c r="AI125" i="1"/>
  <c r="AF124" i="1"/>
  <c r="AK123" i="1"/>
  <c r="AC123" i="1"/>
  <c r="AH122" i="1"/>
  <c r="AM121" i="1"/>
  <c r="AE121" i="1"/>
  <c r="AJ120" i="1"/>
  <c r="AB120" i="1"/>
  <c r="AK96" i="1"/>
  <c r="AC96" i="1"/>
  <c r="AH95" i="1"/>
  <c r="AM94" i="1"/>
  <c r="AE94" i="1"/>
  <c r="AJ93" i="1"/>
  <c r="AB93" i="1"/>
  <c r="AG92" i="1"/>
  <c r="AJ91" i="1"/>
  <c r="AB91" i="1"/>
  <c r="AI67" i="1"/>
  <c r="AL66" i="1"/>
  <c r="AD66" i="1"/>
  <c r="AI65" i="1"/>
  <c r="AF64" i="1"/>
  <c r="AL63" i="1"/>
  <c r="AD63" i="1"/>
  <c r="AI62" i="1"/>
  <c r="AF154" i="1"/>
  <c r="AK153" i="1"/>
  <c r="AC153" i="1"/>
  <c r="AH152" i="1"/>
  <c r="AM151" i="1"/>
  <c r="AE151" i="1"/>
  <c r="AJ150" i="1"/>
  <c r="AB150" i="1"/>
  <c r="AG149" i="1"/>
  <c r="AH125" i="1"/>
  <c r="AM124" i="1"/>
  <c r="AE124" i="1"/>
  <c r="AJ123" i="1"/>
  <c r="AB123" i="1"/>
  <c r="AG122" i="1"/>
  <c r="AL121" i="1"/>
  <c r="AD121" i="1"/>
  <c r="AI120" i="1"/>
  <c r="AJ96" i="1"/>
  <c r="AB96" i="1"/>
  <c r="AG95" i="1"/>
  <c r="AL94" i="1"/>
  <c r="AD94" i="1"/>
  <c r="AI93" i="1"/>
  <c r="AF92" i="1"/>
  <c r="AI91" i="1"/>
  <c r="AH67" i="1"/>
  <c r="AK66" i="1"/>
  <c r="AC66" i="1"/>
  <c r="AH65" i="1"/>
  <c r="AM64" i="1"/>
  <c r="AE64" i="1"/>
  <c r="AK63" i="1"/>
  <c r="AC63" i="1"/>
  <c r="AH62" i="1"/>
  <c r="AL154" i="1"/>
  <c r="AD154" i="1"/>
  <c r="AI153" i="1"/>
  <c r="AF152" i="1"/>
  <c r="AK151" i="1"/>
  <c r="AC151" i="1"/>
  <c r="AH150" i="1"/>
  <c r="AM149" i="1"/>
  <c r="AE149" i="1"/>
  <c r="AF125" i="1"/>
  <c r="AK124" i="1"/>
  <c r="AC124" i="1"/>
  <c r="AH123" i="1"/>
  <c r="AM122" i="1"/>
  <c r="AE122" i="1"/>
  <c r="AJ121" i="1"/>
  <c r="AB121" i="1"/>
  <c r="AG120" i="1"/>
  <c r="AH96" i="1"/>
  <c r="AM95" i="1"/>
  <c r="AE95" i="1"/>
  <c r="AJ94" i="1"/>
  <c r="AB94" i="1"/>
  <c r="AG93" i="1"/>
  <c r="AL92" i="1"/>
  <c r="AD92" i="1"/>
  <c r="AG91" i="1"/>
  <c r="AF67" i="1"/>
  <c r="AI66" i="1"/>
  <c r="AF65" i="1"/>
  <c r="AK64" i="1"/>
  <c r="AC64" i="1"/>
  <c r="AI63" i="1"/>
  <c r="AF62" i="1"/>
  <c r="AK154" i="1"/>
  <c r="AC154" i="1"/>
  <c r="AH153" i="1"/>
  <c r="AM152" i="1"/>
  <c r="AE152" i="1"/>
  <c r="AJ151" i="1"/>
  <c r="AB151" i="1"/>
  <c r="AG150" i="1"/>
  <c r="AL149" i="1"/>
  <c r="AD149" i="1"/>
  <c r="AM125" i="1"/>
  <c r="AE125" i="1"/>
  <c r="AJ124" i="1"/>
  <c r="AB124" i="1"/>
  <c r="AG123" i="1"/>
  <c r="AL122" i="1"/>
  <c r="AD122" i="1"/>
  <c r="AI121" i="1"/>
  <c r="AF120" i="1"/>
  <c r="AG96" i="1"/>
  <c r="AL95" i="1"/>
  <c r="AD95" i="1"/>
  <c r="AI94" i="1"/>
  <c r="AF93" i="1"/>
  <c r="AK92" i="1"/>
  <c r="AC92" i="1"/>
  <c r="AF91" i="1"/>
  <c r="AM67" i="1"/>
  <c r="AE67" i="1"/>
  <c r="AH66" i="1"/>
  <c r="AM65" i="1"/>
  <c r="AE65" i="1"/>
  <c r="AJ64" i="1"/>
  <c r="AB64" i="1"/>
  <c r="AH63" i="1"/>
  <c r="AI154" i="1"/>
  <c r="AF153" i="1"/>
  <c r="AK152" i="1"/>
  <c r="AC152" i="1"/>
  <c r="AH151" i="1"/>
  <c r="AM150" i="1"/>
  <c r="AE150" i="1"/>
  <c r="AJ149" i="1"/>
  <c r="AB149" i="1"/>
  <c r="AK125" i="1"/>
  <c r="AC125" i="1"/>
  <c r="AH124" i="1"/>
  <c r="AM123" i="1"/>
  <c r="AE123" i="1"/>
  <c r="AJ122" i="1"/>
  <c r="AB122" i="1"/>
  <c r="AG121" i="1"/>
  <c r="AL120" i="1"/>
  <c r="AD120" i="1"/>
  <c r="AM96" i="1"/>
  <c r="AE96" i="1"/>
  <c r="AJ95" i="1"/>
  <c r="AB95" i="1"/>
  <c r="AG94" i="1"/>
  <c r="AL93" i="1"/>
  <c r="AD93" i="1"/>
  <c r="AI92" i="1"/>
  <c r="AL91" i="1"/>
  <c r="AD91" i="1"/>
  <c r="AK67" i="1"/>
  <c r="AC67" i="1"/>
  <c r="AF66" i="1"/>
  <c r="AK65" i="1"/>
  <c r="AC65" i="1"/>
  <c r="AH64" i="1"/>
  <c r="AF63" i="1"/>
  <c r="AG153" i="1"/>
  <c r="AL151" i="1"/>
  <c r="AD150" i="1"/>
  <c r="AG124" i="1"/>
  <c r="AC121" i="1"/>
  <c r="AF95" i="1"/>
  <c r="AK93" i="1"/>
  <c r="AB92" i="1"/>
  <c r="AH91" i="1"/>
  <c r="AJ67" i="1"/>
  <c r="AJ65" i="1"/>
  <c r="AK62" i="1"/>
  <c r="AM154" i="1"/>
  <c r="AE153" i="1"/>
  <c r="AI151" i="1"/>
  <c r="AL125" i="1"/>
  <c r="AD124" i="1"/>
  <c r="AI122" i="1"/>
  <c r="AM120" i="1"/>
  <c r="AL96" i="1"/>
  <c r="AC95" i="1"/>
  <c r="AH93" i="1"/>
  <c r="AE91" i="1"/>
  <c r="AG67" i="1"/>
  <c r="AG65" i="1"/>
  <c r="AM63" i="1"/>
  <c r="AJ62" i="1"/>
  <c r="AB65" i="1"/>
  <c r="AM91" i="1"/>
  <c r="AJ154" i="1"/>
  <c r="AB153" i="1"/>
  <c r="AG151" i="1"/>
  <c r="AK149" i="1"/>
  <c r="AJ125" i="1"/>
  <c r="AF122" i="1"/>
  <c r="AK120" i="1"/>
  <c r="AI96" i="1"/>
  <c r="AE93" i="1"/>
  <c r="AC91" i="1"/>
  <c r="AD67" i="1"/>
  <c r="AM66" i="1"/>
  <c r="AD65" i="1"/>
  <c r="AJ63" i="1"/>
  <c r="AG62" i="1"/>
  <c r="AH154" i="1"/>
  <c r="AL152" i="1"/>
  <c r="AD151" i="1"/>
  <c r="AI149" i="1"/>
  <c r="AG125" i="1"/>
  <c r="AL123" i="1"/>
  <c r="AC122" i="1"/>
  <c r="AH120" i="1"/>
  <c r="AF96" i="1"/>
  <c r="AK94" i="1"/>
  <c r="AC93" i="1"/>
  <c r="AB67" i="1"/>
  <c r="AJ66" i="1"/>
  <c r="AG63" i="1"/>
  <c r="AE62" i="1"/>
  <c r="AE154" i="1"/>
  <c r="AJ152" i="1"/>
  <c r="AF149" i="1"/>
  <c r="AD125" i="1"/>
  <c r="AI123" i="1"/>
  <c r="AE120" i="1"/>
  <c r="AD96" i="1"/>
  <c r="AH94" i="1"/>
  <c r="AM92" i="1"/>
  <c r="AG66" i="1"/>
  <c r="AL64" i="1"/>
  <c r="AE63" i="1"/>
  <c r="AD62" i="1"/>
  <c r="AI150" i="1"/>
  <c r="AL124" i="1"/>
  <c r="AH121" i="1"/>
  <c r="AK95" i="1"/>
  <c r="AH92" i="1"/>
  <c r="AG64" i="1"/>
  <c r="AB154" i="1"/>
  <c r="AG152" i="1"/>
  <c r="AL150" i="1"/>
  <c r="AC149" i="1"/>
  <c r="AC155" i="1" s="1"/>
  <c r="AC161" i="1" s="1"/>
  <c r="AC163" i="1" s="1"/>
  <c r="AB125" i="1"/>
  <c r="AF123" i="1"/>
  <c r="AK121" i="1"/>
  <c r="AC120" i="1"/>
  <c r="AF94" i="1"/>
  <c r="AJ92" i="1"/>
  <c r="AE66" i="1"/>
  <c r="AI64" i="1"/>
  <c r="AB63" i="1"/>
  <c r="AC62" i="1"/>
  <c r="AM153" i="1"/>
  <c r="AD152" i="1"/>
  <c r="AD123" i="1"/>
  <c r="AC94" i="1"/>
  <c r="AB66" i="1"/>
  <c r="AM62" i="1"/>
  <c r="AM68" i="1" s="1"/>
  <c r="AM74" i="1" s="1"/>
  <c r="AM76" i="1" s="1"/>
  <c r="AM167" i="1" s="1"/>
  <c r="AB62" i="1"/>
  <c r="AJ153" i="1"/>
  <c r="AB152" i="1"/>
  <c r="AF150" i="1"/>
  <c r="AI124" i="1"/>
  <c r="AF121" i="1"/>
  <c r="AI95" i="1"/>
  <c r="AM93" i="1"/>
  <c r="AE92" i="1"/>
  <c r="AK91" i="1"/>
  <c r="AL67" i="1"/>
  <c r="AL65" i="1"/>
  <c r="AD64" i="1"/>
  <c r="AL62" i="1"/>
  <c r="AK122" i="1"/>
  <c r="AF68" i="1" l="1"/>
  <c r="AF74" i="1" s="1"/>
  <c r="AF76" i="1" s="1"/>
  <c r="AG97" i="1"/>
  <c r="AG103" i="1" s="1"/>
  <c r="AG105" i="1" s="1"/>
  <c r="AE126" i="1"/>
  <c r="AE132" i="1" s="1"/>
  <c r="AE134" i="1" s="1"/>
  <c r="AK155" i="1"/>
  <c r="AK161" i="1" s="1"/>
  <c r="AK163" i="1" s="1"/>
  <c r="AN93" i="1"/>
  <c r="F55" i="1" s="1"/>
  <c r="AH155" i="1"/>
  <c r="AH161" i="1" s="1"/>
  <c r="AH163" i="1" s="1"/>
  <c r="AI155" i="1"/>
  <c r="AI161" i="1" s="1"/>
  <c r="AI163" i="1" s="1"/>
  <c r="AN92" i="1"/>
  <c r="F54" i="1" s="1"/>
  <c r="AL97" i="1"/>
  <c r="AL103" i="1" s="1"/>
  <c r="AL105" i="1" s="1"/>
  <c r="AN151" i="1"/>
  <c r="L55" i="1" s="1"/>
  <c r="AN121" i="1"/>
  <c r="I54" i="1" s="1"/>
  <c r="AN96" i="1"/>
  <c r="F58" i="1" s="1"/>
  <c r="AN153" i="1"/>
  <c r="L57" i="1" s="1"/>
  <c r="AM155" i="1"/>
  <c r="AM161" i="1" s="1"/>
  <c r="AM163" i="1" s="1"/>
  <c r="AM170" i="1" s="1"/>
  <c r="AC126" i="1"/>
  <c r="AC132" i="1" s="1"/>
  <c r="AC134" i="1" s="1"/>
  <c r="AF155" i="1"/>
  <c r="AF161" i="1" s="1"/>
  <c r="AF163" i="1" s="1"/>
  <c r="AL126" i="1"/>
  <c r="AL132" i="1" s="1"/>
  <c r="AL134" i="1" s="1"/>
  <c r="AN94" i="1"/>
  <c r="F56" i="1" s="1"/>
  <c r="AI97" i="1"/>
  <c r="AI103" i="1" s="1"/>
  <c r="AI105" i="1" s="1"/>
  <c r="AI126" i="1"/>
  <c r="AI132" i="1" s="1"/>
  <c r="AI134" i="1" s="1"/>
  <c r="AN66" i="1"/>
  <c r="C57" i="1" s="1"/>
  <c r="AH97" i="1"/>
  <c r="AH103" i="1" s="1"/>
  <c r="AH105" i="1" s="1"/>
  <c r="AE155" i="1"/>
  <c r="AE161" i="1" s="1"/>
  <c r="AE163" i="1" s="1"/>
  <c r="AN154" i="1"/>
  <c r="L58" i="1" s="1"/>
  <c r="AC97" i="1"/>
  <c r="AC103" i="1" s="1"/>
  <c r="AC105" i="1" s="1"/>
  <c r="AE97" i="1"/>
  <c r="AE103" i="1" s="1"/>
  <c r="AE105" i="1" s="1"/>
  <c r="AD126" i="1"/>
  <c r="AD132" i="1" s="1"/>
  <c r="AD134" i="1" s="1"/>
  <c r="AN124" i="1"/>
  <c r="I57" i="1" s="1"/>
  <c r="AH68" i="1"/>
  <c r="AH74" i="1" s="1"/>
  <c r="AH76" i="1" s="1"/>
  <c r="AN152" i="1"/>
  <c r="L56" i="1" s="1"/>
  <c r="AM97" i="1"/>
  <c r="AM103" i="1" s="1"/>
  <c r="AM105" i="1" s="1"/>
  <c r="AM168" i="1" s="1"/>
  <c r="AB155" i="1"/>
  <c r="AN149" i="1"/>
  <c r="L53" i="1" s="1"/>
  <c r="AG155" i="1"/>
  <c r="AG161" i="1" s="1"/>
  <c r="AG163" i="1" s="1"/>
  <c r="AL155" i="1"/>
  <c r="AL161" i="1" s="1"/>
  <c r="AL163" i="1" s="1"/>
  <c r="AL170" i="1" s="1"/>
  <c r="AD97" i="1"/>
  <c r="AD103" i="1" s="1"/>
  <c r="AD105" i="1" s="1"/>
  <c r="AG126" i="1"/>
  <c r="AG132" i="1" s="1"/>
  <c r="AG134" i="1" s="1"/>
  <c r="AJ126" i="1"/>
  <c r="AJ132" i="1" s="1"/>
  <c r="AJ134" i="1" s="1"/>
  <c r="AL68" i="1"/>
  <c r="AL74" i="1" s="1"/>
  <c r="AL76" i="1" s="1"/>
  <c r="AL167" i="1" s="1"/>
  <c r="AD68" i="1"/>
  <c r="AD74" i="1" s="1"/>
  <c r="AD76" i="1" s="1"/>
  <c r="AN67" i="1"/>
  <c r="C58" i="1" s="1"/>
  <c r="AK97" i="1"/>
  <c r="AK103" i="1" s="1"/>
  <c r="AK105" i="1" s="1"/>
  <c r="AC68" i="1"/>
  <c r="AC74" i="1" s="1"/>
  <c r="AC76" i="1" s="1"/>
  <c r="AH126" i="1"/>
  <c r="AH132" i="1" s="1"/>
  <c r="AH134" i="1" s="1"/>
  <c r="AG68" i="1"/>
  <c r="AG74" i="1" s="1"/>
  <c r="AG76" i="1" s="1"/>
  <c r="AK126" i="1"/>
  <c r="AK132" i="1" s="1"/>
  <c r="AK134" i="1" s="1"/>
  <c r="AN65" i="1"/>
  <c r="C56" i="1" s="1"/>
  <c r="AK68" i="1"/>
  <c r="AK74" i="1" s="1"/>
  <c r="AK76" i="1" s="1"/>
  <c r="AN122" i="1"/>
  <c r="I55" i="1" s="1"/>
  <c r="AJ155" i="1"/>
  <c r="AJ161" i="1" s="1"/>
  <c r="AJ163" i="1" s="1"/>
  <c r="AJ170" i="1" s="1"/>
  <c r="AF97" i="1"/>
  <c r="AF103" i="1" s="1"/>
  <c r="AF105" i="1" s="1"/>
  <c r="AF126" i="1"/>
  <c r="AF132" i="1" s="1"/>
  <c r="AF134" i="1" s="1"/>
  <c r="AN150" i="1"/>
  <c r="L54" i="1" s="1"/>
  <c r="AI68" i="1"/>
  <c r="AI74" i="1" s="1"/>
  <c r="AI76" i="1" s="1"/>
  <c r="AB97" i="1"/>
  <c r="AN91" i="1"/>
  <c r="F53" i="1" s="1"/>
  <c r="AN62" i="1"/>
  <c r="C53" i="1" s="1"/>
  <c r="AB68" i="1"/>
  <c r="AN63" i="1"/>
  <c r="C54" i="1" s="1"/>
  <c r="AN125" i="1"/>
  <c r="I58" i="1" s="1"/>
  <c r="AE68" i="1"/>
  <c r="AE74" i="1" s="1"/>
  <c r="AE76" i="1" s="1"/>
  <c r="AJ68" i="1"/>
  <c r="AJ74" i="1" s="1"/>
  <c r="AJ76" i="1" s="1"/>
  <c r="AM126" i="1"/>
  <c r="AM132" i="1" s="1"/>
  <c r="AM134" i="1" s="1"/>
  <c r="AM169" i="1" s="1"/>
  <c r="AN95" i="1"/>
  <c r="F57" i="1" s="1"/>
  <c r="AN64" i="1"/>
  <c r="C55" i="1" s="1"/>
  <c r="AD155" i="1"/>
  <c r="AD161" i="1" s="1"/>
  <c r="AD163" i="1" s="1"/>
  <c r="AC170" i="1" s="1"/>
  <c r="AJ97" i="1"/>
  <c r="AJ103" i="1" s="1"/>
  <c r="AJ105" i="1" s="1"/>
  <c r="AN123" i="1"/>
  <c r="I56" i="1" s="1"/>
  <c r="AN120" i="1"/>
  <c r="I53" i="1" s="1"/>
  <c r="I59" i="1" s="1"/>
  <c r="L38" i="2" s="1"/>
  <c r="AB126" i="1"/>
  <c r="AM171" i="1" l="1"/>
  <c r="J12" i="1" s="1"/>
  <c r="AE170" i="1"/>
  <c r="AF170" i="1"/>
  <c r="AF171" i="1" s="1"/>
  <c r="J5" i="1" s="1"/>
  <c r="AJ169" i="1"/>
  <c r="AF167" i="1"/>
  <c r="AK169" i="1"/>
  <c r="AJ167" i="1"/>
  <c r="AF168" i="1"/>
  <c r="AN126" i="1"/>
  <c r="AB132" i="1"/>
  <c r="AN97" i="1"/>
  <c r="AB103" i="1"/>
  <c r="AN155" i="1"/>
  <c r="AB161" i="1"/>
  <c r="AL169" i="1"/>
  <c r="AL171" i="1" s="1"/>
  <c r="J11" i="1" s="1"/>
  <c r="AL168" i="1"/>
  <c r="AE167" i="1"/>
  <c r="AE171" i="1" s="1"/>
  <c r="J4" i="1" s="1"/>
  <c r="AG167" i="1"/>
  <c r="AC169" i="1"/>
  <c r="AI170" i="1"/>
  <c r="AG169" i="1"/>
  <c r="AH168" i="1"/>
  <c r="AG168" i="1"/>
  <c r="AF169" i="1"/>
  <c r="AH169" i="1"/>
  <c r="AD168" i="1"/>
  <c r="AH167" i="1"/>
  <c r="AH170" i="1"/>
  <c r="AI167" i="1"/>
  <c r="AC167" i="1"/>
  <c r="AC171" i="1" s="1"/>
  <c r="J2" i="1" s="1"/>
  <c r="AN68" i="1"/>
  <c r="AB74" i="1"/>
  <c r="AK168" i="1"/>
  <c r="AD169" i="1"/>
  <c r="AI169" i="1"/>
  <c r="AK170" i="1"/>
  <c r="AJ168" i="1"/>
  <c r="AJ171" i="1" s="1"/>
  <c r="J9" i="1" s="1"/>
  <c r="AD170" i="1"/>
  <c r="C59" i="1"/>
  <c r="D38" i="2" s="1"/>
  <c r="AG170" i="1"/>
  <c r="AE168" i="1"/>
  <c r="AI168" i="1"/>
  <c r="AE169" i="1"/>
  <c r="F59" i="1"/>
  <c r="H38" i="2" s="1"/>
  <c r="AK167" i="1"/>
  <c r="AK171" i="1" s="1"/>
  <c r="J10" i="1" s="1"/>
  <c r="AD167" i="1"/>
  <c r="AD171" i="1" s="1"/>
  <c r="J3" i="1" s="1"/>
  <c r="L59" i="1"/>
  <c r="Q38" i="2" s="1"/>
  <c r="AC168" i="1"/>
  <c r="AI171" i="1" l="1"/>
  <c r="J8" i="1" s="1"/>
  <c r="AB105" i="1"/>
  <c r="AN103" i="1"/>
  <c r="AH171" i="1"/>
  <c r="J7" i="1" s="1"/>
  <c r="AG171" i="1"/>
  <c r="J6" i="1" s="1"/>
  <c r="AN161" i="1"/>
  <c r="AB163" i="1"/>
  <c r="AN132" i="1"/>
  <c r="AB134" i="1"/>
  <c r="AB76" i="1"/>
  <c r="AN74" i="1"/>
  <c r="AN163" i="1" l="1"/>
  <c r="K61" i="1" s="1"/>
  <c r="Q41" i="2" s="1"/>
  <c r="Q40" i="2" s="1"/>
  <c r="AB170" i="1"/>
  <c r="AB169" i="1"/>
  <c r="AN134" i="1"/>
  <c r="H61" i="1" s="1"/>
  <c r="L41" i="2" s="1"/>
  <c r="L40" i="2" s="1"/>
  <c r="AB167" i="1"/>
  <c r="AN76" i="1"/>
  <c r="B61" i="1" s="1"/>
  <c r="AN105" i="1"/>
  <c r="E61" i="1" s="1"/>
  <c r="H41" i="2" s="1"/>
  <c r="H40" i="2" s="1"/>
  <c r="AB168" i="1"/>
  <c r="AB171" i="1" l="1"/>
  <c r="J1" i="1" s="1"/>
  <c r="B64" i="1"/>
  <c r="H47" i="2" s="1"/>
  <c r="D41" i="2"/>
  <c r="L43" i="2" l="1"/>
  <c r="D40" i="2"/>
  <c r="AG49" i="2"/>
  <c r="AF49" i="2"/>
  <c r="AD49" i="2"/>
  <c r="AE49" i="2"/>
  <c r="AI49" i="2"/>
  <c r="AC49" i="2"/>
  <c r="AB49" i="2"/>
  <c r="AA49" i="2"/>
  <c r="H51" i="2"/>
  <c r="AH49" i="2"/>
  <c r="Z4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苧毛 雄佑</author>
  </authors>
  <commentList>
    <comment ref="AB41" authorId="0" shapeId="0" xr:uid="{00000000-0006-0000-0100-000001000000}">
      <text>
        <r>
          <rPr>
            <sz val="11"/>
            <color theme="1"/>
            <rFont val="ＭＳ Ｐゴシック"/>
            <family val="3"/>
            <charset val="128"/>
          </rPr>
          <t>高校生年代まではカウントしない
毎年関数の日付を更新する</t>
        </r>
      </text>
    </comment>
  </commentList>
</comments>
</file>

<file path=xl/sharedStrings.xml><?xml version="1.0" encoding="utf-8"?>
<sst xmlns="http://schemas.openxmlformats.org/spreadsheetml/2006/main" count="856" uniqueCount="391">
  <si>
    <t>①加入</t>
    <rPh sb="1" eb="3">
      <t>かにゅう</t>
    </rPh>
    <phoneticPr fontId="1" type="Hiragana"/>
  </si>
  <si>
    <t>●未就学児減額</t>
    <rPh sb="1" eb="5">
      <t>みしゅうがくじ</t>
    </rPh>
    <rPh sb="5" eb="7">
      <t>げんがく</t>
    </rPh>
    <phoneticPr fontId="1" type="Hiragana"/>
  </si>
  <si>
    <t>②生年月日</t>
    <rPh sb="1" eb="3">
      <t>せいねん</t>
    </rPh>
    <rPh sb="3" eb="5">
      <t>がっぴ</t>
    </rPh>
    <phoneticPr fontId="1" type="Hiragana"/>
  </si>
  <si>
    <t>2002年</t>
    <rPh sb="4" eb="5">
      <t>ねん</t>
    </rPh>
    <phoneticPr fontId="1" type="Hiragana"/>
  </si>
  <si>
    <t>平成6年</t>
    <rPh sb="0" eb="2">
      <t>へいせい</t>
    </rPh>
    <rPh sb="3" eb="4">
      <t>ねん</t>
    </rPh>
    <phoneticPr fontId="1" type="Hiragana"/>
  </si>
  <si>
    <t>世帯員5</t>
    <rPh sb="0" eb="3">
      <t>せたいいん</t>
    </rPh>
    <phoneticPr fontId="1" type="Hiragana"/>
  </si>
  <si>
    <t>2026年</t>
    <rPh sb="4" eb="5">
      <t>ねん</t>
    </rPh>
    <phoneticPr fontId="1" type="Hiragana"/>
  </si>
  <si>
    <r>
      <t>③給与収入</t>
    </r>
    <r>
      <rPr>
        <sz val="11"/>
        <color theme="1"/>
        <rFont val="ＭＳ Ｐゴシック"/>
        <family val="3"/>
        <charset val="128"/>
      </rPr>
      <t xml:space="preserve">
　●給与所得の源泉徴収票の場合、赤枠の「支払金額」に
　記載されている金額を入力してください。
</t>
    </r>
    <r>
      <rPr>
        <sz val="9"/>
        <color theme="1"/>
        <rFont val="ＭＳ Ｐゴシック"/>
        <family val="3"/>
        <charset val="128"/>
      </rPr>
      <t>　</t>
    </r>
    <r>
      <rPr>
        <sz val="11"/>
        <color theme="1"/>
        <rFont val="ＭＳ Ｐゴシック"/>
        <family val="3"/>
        <charset val="128"/>
      </rPr>
      <t>※複数ある場合は合計額を入力</t>
    </r>
    <rPh sb="1" eb="3">
      <t>きゅうよ</t>
    </rPh>
    <rPh sb="3" eb="5">
      <t>しゅうにゅう</t>
    </rPh>
    <rPh sb="8" eb="10">
      <t>きゅうよ</t>
    </rPh>
    <rPh sb="10" eb="12">
      <t>しょとく</t>
    </rPh>
    <rPh sb="13" eb="15">
      <t>げんせん</t>
    </rPh>
    <rPh sb="15" eb="18">
      <t>ちょうしゅうひょう</t>
    </rPh>
    <rPh sb="19" eb="21">
      <t>ばあい</t>
    </rPh>
    <rPh sb="22" eb="23">
      <t>あか</t>
    </rPh>
    <rPh sb="23" eb="24">
      <t>わく</t>
    </rPh>
    <rPh sb="26" eb="28">
      <t>しはらい</t>
    </rPh>
    <rPh sb="28" eb="30">
      <t>きんがく</t>
    </rPh>
    <rPh sb="34" eb="36">
      <t>きさい</t>
    </rPh>
    <rPh sb="41" eb="43">
      <t>きんがく</t>
    </rPh>
    <rPh sb="44" eb="46">
      <t>にゅうりょく</t>
    </rPh>
    <rPh sb="56" eb="58">
      <t>ふくすう</t>
    </rPh>
    <rPh sb="60" eb="62">
      <t>ばあい</t>
    </rPh>
    <rPh sb="63" eb="66">
      <t>ごうけいがく</t>
    </rPh>
    <rPh sb="67" eb="69">
      <t>にゅうりょく</t>
    </rPh>
    <phoneticPr fontId="1" type="Hiragana"/>
  </si>
  <si>
    <t>日</t>
    <rPh sb="0" eb="1">
      <t>にち</t>
    </rPh>
    <phoneticPr fontId="1" type="Hiragana"/>
  </si>
  <si>
    <t>月</t>
    <rPh sb="0" eb="1">
      <t>つき</t>
    </rPh>
    <phoneticPr fontId="1" type="Hiragana"/>
  </si>
  <si>
    <t>世帯主</t>
    <rPh sb="0" eb="3">
      <t>せたいぬし</t>
    </rPh>
    <phoneticPr fontId="1" type="Hiragana"/>
  </si>
  <si>
    <t>世帯員4</t>
    <rPh sb="0" eb="3">
      <t>せたいいん</t>
    </rPh>
    <phoneticPr fontId="1" type="Hiragana"/>
  </si>
  <si>
    <t>世帯員1</t>
    <rPh sb="0" eb="3">
      <t>せたいいん</t>
    </rPh>
    <phoneticPr fontId="1" type="Hiragana"/>
  </si>
  <si>
    <r>
      <t>令和８</t>
    </r>
    <r>
      <rPr>
        <sz val="26"/>
        <color theme="1"/>
        <rFont val="ＭＳ Ｐゴシック"/>
        <family val="3"/>
        <charset val="128"/>
      </rPr>
      <t>年度　登別市国民健康保険税簡易試算表</t>
    </r>
    <rPh sb="0" eb="2">
      <t>れいわ</t>
    </rPh>
    <rPh sb="3" eb="4">
      <t>ねん</t>
    </rPh>
    <rPh sb="4" eb="5">
      <t>ど</t>
    </rPh>
    <rPh sb="6" eb="9">
      <t>のぼりべつし</t>
    </rPh>
    <rPh sb="9" eb="11">
      <t>こくみん</t>
    </rPh>
    <rPh sb="11" eb="13">
      <t>けんこう</t>
    </rPh>
    <rPh sb="13" eb="15">
      <t>ほけん</t>
    </rPh>
    <rPh sb="15" eb="16">
      <t>ぜい</t>
    </rPh>
    <rPh sb="16" eb="18">
      <t>かんい</t>
    </rPh>
    <rPh sb="18" eb="21">
      <t>しさんひょう</t>
    </rPh>
    <phoneticPr fontId="1" type="Hiragana"/>
  </si>
  <si>
    <t>世帯員2</t>
    <rPh sb="0" eb="3">
      <t>せたいいん</t>
    </rPh>
    <phoneticPr fontId="1" type="Hiragana"/>
  </si>
  <si>
    <t>年金所得以外の合計所得</t>
    <rPh sb="0" eb="2">
      <t>ねんきん</t>
    </rPh>
    <rPh sb="2" eb="4">
      <t>しょとく</t>
    </rPh>
    <rPh sb="4" eb="6">
      <t>いがい</t>
    </rPh>
    <rPh sb="7" eb="9">
      <t>ごうけい</t>
    </rPh>
    <rPh sb="9" eb="11">
      <t>しょとく</t>
    </rPh>
    <phoneticPr fontId="1" type="Hiragana"/>
  </si>
  <si>
    <t>昭和53年</t>
    <rPh sb="0" eb="2">
      <t>しょうわ</t>
    </rPh>
    <rPh sb="4" eb="5">
      <t>ねん</t>
    </rPh>
    <phoneticPr fontId="1" type="Hiragana"/>
  </si>
  <si>
    <t>世帯員3</t>
    <rPh sb="0" eb="3">
      <t>せたいいん</t>
    </rPh>
    <phoneticPr fontId="1" type="Hiragana"/>
  </si>
  <si>
    <t>2018年</t>
    <rPh sb="4" eb="5">
      <t>ねん</t>
    </rPh>
    <phoneticPr fontId="1" type="Hiragana"/>
  </si>
  <si>
    <t>昭和38年</t>
    <rPh sb="0" eb="2">
      <t>しょうわ</t>
    </rPh>
    <rPh sb="4" eb="5">
      <t>ねん</t>
    </rPh>
    <phoneticPr fontId="1" type="Hiragana"/>
  </si>
  <si>
    <t>2割軽減判定</t>
    <rPh sb="1" eb="2">
      <t>わり</t>
    </rPh>
    <rPh sb="2" eb="4">
      <t>けいげん</t>
    </rPh>
    <rPh sb="4" eb="6">
      <t>はんてい</t>
    </rPh>
    <phoneticPr fontId="1" type="Hiragana"/>
  </si>
  <si>
    <t>令和7年</t>
    <rPh sb="0" eb="2">
      <t>れいわ</t>
    </rPh>
    <rPh sb="3" eb="4">
      <t>ねん</t>
    </rPh>
    <phoneticPr fontId="1" type="Hiragana"/>
  </si>
  <si>
    <t>10月</t>
    <rPh sb="2" eb="3">
      <t>がつ</t>
    </rPh>
    <phoneticPr fontId="1" type="Hiragana"/>
  </si>
  <si>
    <t>　●確定申告書Aの場合、収入金額等欄の赤枠の「給与」に
　記載されている金額を入力してください。</t>
    <rPh sb="2" eb="4">
      <t>かくてい</t>
    </rPh>
    <rPh sb="4" eb="6">
      <t>しんこく</t>
    </rPh>
    <rPh sb="6" eb="7">
      <t>しょ</t>
    </rPh>
    <rPh sb="9" eb="11">
      <t>ばあい</t>
    </rPh>
    <rPh sb="12" eb="14">
      <t>しゅうにゅう</t>
    </rPh>
    <rPh sb="14" eb="16">
      <t>きんがく</t>
    </rPh>
    <rPh sb="16" eb="17">
      <t>とう</t>
    </rPh>
    <rPh sb="17" eb="18">
      <t>らん</t>
    </rPh>
    <rPh sb="19" eb="20">
      <t>あか</t>
    </rPh>
    <rPh sb="20" eb="21">
      <t>わく</t>
    </rPh>
    <rPh sb="23" eb="25">
      <t>きゅうよ</t>
    </rPh>
    <rPh sb="29" eb="31">
      <t>きさい</t>
    </rPh>
    <rPh sb="36" eb="38">
      <t>きんがく</t>
    </rPh>
    <rPh sb="39" eb="41">
      <t>にゅうりょく</t>
    </rPh>
    <phoneticPr fontId="1" type="Hiragana"/>
  </si>
  <si>
    <t>控除後</t>
    <rPh sb="0" eb="2">
      <t>こうじょ</t>
    </rPh>
    <rPh sb="2" eb="3">
      <t>ご</t>
    </rPh>
    <phoneticPr fontId="1" type="Hiragana"/>
  </si>
  <si>
    <t>給与所得</t>
    <rPh sb="0" eb="2">
      <t>きゅうよ</t>
    </rPh>
    <rPh sb="2" eb="4">
      <t>しょとく</t>
    </rPh>
    <phoneticPr fontId="1" type="Hiragana"/>
  </si>
  <si>
    <r>
      <t>③給与</t>
    </r>
    <r>
      <rPr>
        <b/>
        <sz val="11"/>
        <color rgb="FF0027C0"/>
        <rFont val="ＭＳ Ｐゴシック"/>
        <family val="3"/>
        <charset val="128"/>
      </rPr>
      <t>収入</t>
    </r>
    <rPh sb="1" eb="3">
      <t>きゅうよ</t>
    </rPh>
    <rPh sb="3" eb="5">
      <t>しゅうにゅう</t>
    </rPh>
    <phoneticPr fontId="1" type="Hiragana"/>
  </si>
  <si>
    <t>その他の所得</t>
    <rPh sb="2" eb="3">
      <t>た</t>
    </rPh>
    <rPh sb="4" eb="6">
      <t>しょとく</t>
    </rPh>
    <phoneticPr fontId="1" type="Hiragana"/>
  </si>
  <si>
    <r>
      <t>④年金</t>
    </r>
    <r>
      <rPr>
        <b/>
        <sz val="11"/>
        <color rgb="FF0027C0"/>
        <rFont val="ＭＳ Ｐゴシック"/>
        <family val="3"/>
        <charset val="128"/>
      </rPr>
      <t>収入</t>
    </r>
    <rPh sb="1" eb="3">
      <t>ねんきん</t>
    </rPh>
    <rPh sb="3" eb="5">
      <t>しゅうにゅう</t>
    </rPh>
    <phoneticPr fontId="1" type="Hiragana"/>
  </si>
  <si>
    <t>給与所得計算表</t>
    <rPh sb="0" eb="2">
      <t>きゅうよ</t>
    </rPh>
    <rPh sb="2" eb="4">
      <t>しょとく</t>
    </rPh>
    <rPh sb="4" eb="7">
      <t>けいさんひょう</t>
    </rPh>
    <phoneticPr fontId="1" type="Hiragana"/>
  </si>
  <si>
    <t>軽減判定用所得</t>
    <rPh sb="0" eb="2">
      <t>けいげん</t>
    </rPh>
    <rPh sb="2" eb="4">
      <t>はんてい</t>
    </rPh>
    <rPh sb="4" eb="5">
      <t>よう</t>
    </rPh>
    <rPh sb="5" eb="7">
      <t>しょとく</t>
    </rPh>
    <phoneticPr fontId="1" type="Hiragana"/>
  </si>
  <si>
    <t>令和8年6月</t>
    <rPh sb="0" eb="2">
      <t>れいわ</t>
    </rPh>
    <rPh sb="3" eb="4">
      <t>ねん</t>
    </rPh>
    <rPh sb="5" eb="6">
      <t>がつ</t>
    </rPh>
    <phoneticPr fontId="1" type="Hiragana"/>
  </si>
  <si>
    <t>65歳
以上</t>
    <rPh sb="2" eb="3">
      <t>さい</t>
    </rPh>
    <rPh sb="4" eb="6">
      <t>いじょう</t>
    </rPh>
    <phoneticPr fontId="1" type="Hiragana"/>
  </si>
  <si>
    <t>平等割（子ども分）</t>
    <rPh sb="0" eb="2">
      <t>びょうどう</t>
    </rPh>
    <rPh sb="2" eb="3">
      <t>わり</t>
    </rPh>
    <rPh sb="4" eb="5">
      <t>こ</t>
    </rPh>
    <rPh sb="7" eb="8">
      <t>ぶん</t>
    </rPh>
    <phoneticPr fontId="1" type="Hiragana"/>
  </si>
  <si>
    <t>平等割（医療分）</t>
    <rPh sb="0" eb="2">
      <t>びょうどう</t>
    </rPh>
    <rPh sb="2" eb="3">
      <t>わり</t>
    </rPh>
    <rPh sb="4" eb="6">
      <t>いりょう</t>
    </rPh>
    <rPh sb="6" eb="7">
      <t>ぶん</t>
    </rPh>
    <phoneticPr fontId="1" type="Hiragana"/>
  </si>
  <si>
    <t>所得金額調整控除額</t>
    <rPh sb="0" eb="2">
      <t>しょとく</t>
    </rPh>
    <rPh sb="2" eb="4">
      <t>きんがく</t>
    </rPh>
    <rPh sb="4" eb="6">
      <t>ちょうせい</t>
    </rPh>
    <rPh sb="6" eb="9">
      <t>こうじょがく</t>
    </rPh>
    <phoneticPr fontId="1" type="Hiragana"/>
  </si>
  <si>
    <t>基礎控除後</t>
    <rPh sb="0" eb="2">
      <t>きそ</t>
    </rPh>
    <rPh sb="2" eb="4">
      <t>こうじょ</t>
    </rPh>
    <rPh sb="4" eb="5">
      <t>ご</t>
    </rPh>
    <phoneticPr fontId="1" type="Hiragana"/>
  </si>
  <si>
    <t>第6期</t>
    <rPh sb="0" eb="1">
      <t>だい</t>
    </rPh>
    <rPh sb="2" eb="3">
      <t>き</t>
    </rPh>
    <phoneticPr fontId="1" type="Hiragana"/>
  </si>
  <si>
    <t>医療分</t>
    <rPh sb="0" eb="2">
      <t>いりょう</t>
    </rPh>
    <rPh sb="2" eb="3">
      <t>ぶん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</si>
  <si>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</si>
  <si>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給与所得者</t>
    <rPh sb="0" eb="2">
      <t>きゅうよ</t>
    </rPh>
    <rPh sb="2" eb="4">
      <t>しょとく</t>
    </rPh>
    <rPh sb="4" eb="5">
      <t>しゃ</t>
    </rPh>
    <phoneticPr fontId="1" type="Hiragana"/>
  </si>
  <si>
    <t>基準所得</t>
    <rPh sb="0" eb="2">
      <t>きじゅん</t>
    </rPh>
    <rPh sb="2" eb="4">
      <t>しょとく</t>
    </rPh>
    <phoneticPr fontId="1" type="Hiragana"/>
  </si>
  <si>
    <t>1939年</t>
    <rPh sb="4" eb="5">
      <t>ねん</t>
    </rPh>
    <phoneticPr fontId="1" type="Hiragana"/>
  </si>
  <si>
    <t>支援分</t>
    <rPh sb="0" eb="2">
      <t>しえん</t>
    </rPh>
    <rPh sb="2" eb="3">
      <t>ぶん</t>
    </rPh>
    <phoneticPr fontId="1" type="Hiragana"/>
  </si>
  <si>
    <t>1957年</t>
    <rPh sb="4" eb="5">
      <t>ねん</t>
    </rPh>
    <phoneticPr fontId="1" type="Hiragana"/>
  </si>
  <si>
    <t>1932年</t>
    <rPh sb="4" eb="5">
      <t>ねん</t>
    </rPh>
    <phoneticPr fontId="1" type="Hiragana"/>
  </si>
  <si>
    <t>←年金収入</t>
    <rPh sb="1" eb="3">
      <t>ねんきん</t>
    </rPh>
    <rPh sb="3" eb="5">
      <t>しゅうにゅう</t>
    </rPh>
    <phoneticPr fontId="1" type="Hiragana"/>
  </si>
  <si>
    <t>介護分</t>
    <rPh sb="0" eb="2">
      <t>かいご</t>
    </rPh>
    <rPh sb="2" eb="3">
      <t>ぶん</t>
    </rPh>
    <phoneticPr fontId="1" type="Hiragana"/>
  </si>
  <si>
    <t>1999年</t>
    <rPh sb="4" eb="5">
      <t>ねん</t>
    </rPh>
    <phoneticPr fontId="1" type="Hiragana"/>
  </si>
  <si>
    <t>年金所得</t>
    <rPh sb="0" eb="2">
      <t>ねんきん</t>
    </rPh>
    <rPh sb="2" eb="4">
      <t>しょとく</t>
    </rPh>
    <phoneticPr fontId="1" type="Hiragana"/>
  </si>
  <si>
    <t>平成29年</t>
    <rPh sb="0" eb="2">
      <t>へいせい</t>
    </rPh>
    <rPh sb="4" eb="5">
      <t>ねん</t>
    </rPh>
    <phoneticPr fontId="1" type="Hiragana"/>
  </si>
  <si>
    <t>年金所得計算表
（年金所得以外の合計所得1,000万円以下の場合）</t>
    <rPh sb="0" eb="2">
      <t>ねんきん</t>
    </rPh>
    <rPh sb="2" eb="4">
      <t>しょとく</t>
    </rPh>
    <rPh sb="4" eb="7">
      <t>けいさんひょう</t>
    </rPh>
    <rPh sb="9" eb="11">
      <t>ねんきん</t>
    </rPh>
    <rPh sb="11" eb="13">
      <t>しょとく</t>
    </rPh>
    <rPh sb="13" eb="15">
      <t>いがい</t>
    </rPh>
    <rPh sb="16" eb="18">
      <t>ごうけい</t>
    </rPh>
    <rPh sb="18" eb="20">
      <t>しょとく</t>
    </rPh>
    <rPh sb="25" eb="26">
      <t>まん</t>
    </rPh>
    <rPh sb="26" eb="29">
      <t>えんいか</t>
    </rPh>
    <rPh sb="30" eb="32">
      <t>ばあい</t>
    </rPh>
    <phoneticPr fontId="1" type="Hiragana"/>
  </si>
  <si>
    <t>昭和23年</t>
    <rPh sb="0" eb="2">
      <t>しょうわ</t>
    </rPh>
    <rPh sb="4" eb="5">
      <t>ねん</t>
    </rPh>
    <phoneticPr fontId="1" type="Hiragana"/>
  </si>
  <si>
    <t>↓65歳以上は－15万円</t>
    <rPh sb="3" eb="4">
      <t>さい</t>
    </rPh>
    <rPh sb="4" eb="6">
      <t>いじょう</t>
    </rPh>
    <rPh sb="10" eb="12">
      <t>まんえん</t>
    </rPh>
    <phoneticPr fontId="1" type="Hiragana"/>
  </si>
  <si>
    <t>7月</t>
    <rPh sb="1" eb="2">
      <t>がつ</t>
    </rPh>
    <phoneticPr fontId="1" type="Hiragana"/>
  </si>
  <si>
    <t>年金所得計算表
（年金所得以外の合計所得
2,000,001円以下の場合）</t>
    <rPh sb="0" eb="2">
      <t>ねんきん</t>
    </rPh>
    <rPh sb="2" eb="4">
      <t>しょとく</t>
    </rPh>
    <rPh sb="4" eb="7">
      <t>けいさんひょう</t>
    </rPh>
    <rPh sb="9" eb="11">
      <t>ねんきん</t>
    </rPh>
    <rPh sb="11" eb="13">
      <t>しょとく</t>
    </rPh>
    <rPh sb="13" eb="15">
      <t>いがい</t>
    </rPh>
    <rPh sb="16" eb="18">
      <t>ごうけい</t>
    </rPh>
    <rPh sb="18" eb="20">
      <t>しょとく</t>
    </rPh>
    <rPh sb="30" eb="33">
      <t>えんいか</t>
    </rPh>
    <rPh sb="34" eb="36">
      <t>ばあい</t>
    </rPh>
    <phoneticPr fontId="1" type="Hiragana"/>
  </si>
  <si>
    <t>世帯構成員</t>
    <rPh sb="0" eb="2">
      <t>せたい</t>
    </rPh>
    <rPh sb="2" eb="5">
      <t>こうせいいん</t>
    </rPh>
    <phoneticPr fontId="1" type="Hiragana"/>
  </si>
  <si>
    <t>算定期間</t>
    <rPh sb="0" eb="2">
      <t>さんてい</t>
    </rPh>
    <rPh sb="2" eb="4">
      <t>きかん</t>
    </rPh>
    <phoneticPr fontId="1" type="Hiragana"/>
  </si>
  <si>
    <t>←年齢</t>
    <rPh sb="1" eb="3">
      <t>ねんれい</t>
    </rPh>
    <phoneticPr fontId="1" type="Hiragana"/>
  </si>
  <si>
    <t>昭和11年</t>
    <rPh sb="0" eb="2">
      <t>しょうわ</t>
    </rPh>
    <rPh sb="4" eb="5">
      <t>ねん</t>
    </rPh>
    <phoneticPr fontId="1" type="Hiragana"/>
  </si>
  <si>
    <t>総所得金額等</t>
    <rPh sb="0" eb="3">
      <t>そうしょとく</t>
    </rPh>
    <rPh sb="3" eb="4">
      <t>きん</t>
    </rPh>
    <rPh sb="4" eb="5">
      <t>がく</t>
    </rPh>
    <rPh sb="5" eb="6">
      <t>とう</t>
    </rPh>
    <phoneticPr fontId="1" type="Hiragana"/>
  </si>
  <si>
    <t>平等割（介護分）</t>
    <rPh sb="0" eb="2">
      <t>びょうどう</t>
    </rPh>
    <rPh sb="2" eb="3">
      <t>わり</t>
    </rPh>
    <rPh sb="4" eb="6">
      <t>かいご</t>
    </rPh>
    <rPh sb="6" eb="7">
      <t>ぶん</t>
    </rPh>
    <phoneticPr fontId="1" type="Hiragana"/>
  </si>
  <si>
    <t>限度額</t>
    <rPh sb="0" eb="3">
      <t>げんどがく</t>
    </rPh>
    <phoneticPr fontId="1" type="Hiragana"/>
  </si>
  <si>
    <t>7割軽減判定</t>
    <rPh sb="1" eb="2">
      <t>わり</t>
    </rPh>
    <rPh sb="2" eb="4">
      <t>けいげん</t>
    </rPh>
    <rPh sb="4" eb="6">
      <t>はんてい</t>
    </rPh>
    <phoneticPr fontId="1" type="Hiragana"/>
  </si>
  <si>
    <t>～</t>
  </si>
  <si>
    <t>令和8年</t>
    <rPh sb="0" eb="2">
      <t>れいわ</t>
    </rPh>
    <rPh sb="3" eb="4">
      <t>ねん</t>
    </rPh>
    <phoneticPr fontId="1" type="Hiragana"/>
  </si>
  <si>
    <t>給与収入</t>
    <rPh sb="0" eb="2">
      <t>きゅうよ</t>
    </rPh>
    <rPh sb="2" eb="4">
      <t>しゅうにゅう</t>
    </rPh>
    <phoneticPr fontId="1" type="Hiragana"/>
  </si>
  <si>
    <t>←給与収入</t>
    <rPh sb="1" eb="3">
      <t>きゅうよ</t>
    </rPh>
    <rPh sb="3" eb="5">
      <t>しゅうにゅう</t>
    </rPh>
    <phoneticPr fontId="1" type="Hiragana"/>
  </si>
  <si>
    <t>昭和62年</t>
    <rPh sb="0" eb="2">
      <t>しょうわ</t>
    </rPh>
    <rPh sb="4" eb="5">
      <t>ねん</t>
    </rPh>
    <phoneticPr fontId="1" type="Hiragana"/>
  </si>
  <si>
    <t>年金収入</t>
    <rPh sb="0" eb="2">
      <t>ねんきん</t>
    </rPh>
    <rPh sb="2" eb="4">
      <t>しゅうにゅう</t>
    </rPh>
    <phoneticPr fontId="1" type="Hiragana"/>
  </si>
  <si>
    <t>所得割算出基準額</t>
    <rPh sb="0" eb="3">
      <t>しょとくわり</t>
    </rPh>
    <rPh sb="3" eb="5">
      <t>さんしゅつ</t>
    </rPh>
    <rPh sb="5" eb="8">
      <t>きじゅんがく</t>
    </rPh>
    <phoneticPr fontId="1" type="Hiragana"/>
  </si>
  <si>
    <t>軽減判定用
年金所得</t>
    <rPh sb="0" eb="2">
      <t>けいげん</t>
    </rPh>
    <rPh sb="2" eb="4">
      <t>はんてい</t>
    </rPh>
    <rPh sb="4" eb="5">
      <t>よう</t>
    </rPh>
    <rPh sb="6" eb="8">
      <t>ねんきん</t>
    </rPh>
    <rPh sb="8" eb="10">
      <t>しょとく</t>
    </rPh>
    <phoneticPr fontId="1" type="Hiragana"/>
  </si>
  <si>
    <t>1月</t>
    <rPh sb="1" eb="2">
      <t>がつ</t>
    </rPh>
    <phoneticPr fontId="1" type="Hiragana"/>
  </si>
  <si>
    <t>軽減判定用
総所得金額等</t>
    <rPh sb="0" eb="2">
      <t>けいげん</t>
    </rPh>
    <rPh sb="2" eb="4">
      <t>はんてい</t>
    </rPh>
    <rPh sb="4" eb="5">
      <t>よう</t>
    </rPh>
    <rPh sb="6" eb="9">
      <t>そうしょとく</t>
    </rPh>
    <rPh sb="9" eb="11">
      <t>きんがく</t>
    </rPh>
    <rPh sb="11" eb="12">
      <t>とう</t>
    </rPh>
    <phoneticPr fontId="1" type="Hiragana"/>
  </si>
  <si>
    <t>65歳
未満</t>
    <rPh sb="2" eb="3">
      <t>さい</t>
    </rPh>
    <rPh sb="4" eb="6">
      <t>みまん</t>
    </rPh>
    <phoneticPr fontId="1" type="Hiragana"/>
  </si>
  <si>
    <t>割軽減</t>
    <rPh sb="0" eb="1">
      <t>わ</t>
    </rPh>
    <rPh sb="1" eb="3">
      <t>けいげん</t>
    </rPh>
    <phoneticPr fontId="1" type="Hiragana"/>
  </si>
  <si>
    <t>控除額</t>
    <rPh sb="0" eb="2">
      <t>こうじょ</t>
    </rPh>
    <rPh sb="2" eb="3">
      <t>がく</t>
    </rPh>
    <phoneticPr fontId="1" type="Hiragana"/>
  </si>
  <si>
    <t>年金所得計算表
（年金所得以外の合計所得～2,000万円以下の場合）</t>
    <rPh sb="0" eb="2">
      <t>ねんきん</t>
    </rPh>
    <rPh sb="2" eb="4">
      <t>しょとく</t>
    </rPh>
    <rPh sb="4" eb="7">
      <t>けいさんひょう</t>
    </rPh>
    <rPh sb="9" eb="11">
      <t>ねんきん</t>
    </rPh>
    <rPh sb="11" eb="13">
      <t>しょとく</t>
    </rPh>
    <rPh sb="13" eb="15">
      <t>いがい</t>
    </rPh>
    <rPh sb="16" eb="18">
      <t>ごうけい</t>
    </rPh>
    <rPh sb="18" eb="20">
      <t>しょとく</t>
    </rPh>
    <rPh sb="26" eb="27">
      <t>まん</t>
    </rPh>
    <rPh sb="27" eb="30">
      <t>えんいか</t>
    </rPh>
    <rPh sb="31" eb="33">
      <t>ばあい</t>
    </rPh>
    <phoneticPr fontId="1" type="Hiragana"/>
  </si>
  <si>
    <t>人数</t>
    <rPh sb="0" eb="2">
      <t>にんずう</t>
    </rPh>
    <phoneticPr fontId="1" type="Hiragana"/>
  </si>
  <si>
    <t>1949年</t>
    <rPh sb="4" eb="5">
      <t>ねん</t>
    </rPh>
    <phoneticPr fontId="1" type="Hiragana"/>
  </si>
  <si>
    <t>5割軽減判定</t>
    <rPh sb="1" eb="2">
      <t>わり</t>
    </rPh>
    <rPh sb="2" eb="4">
      <t>けいげん</t>
    </rPh>
    <rPh sb="4" eb="6">
      <t>はんてい</t>
    </rPh>
    <phoneticPr fontId="1" type="Hiragana"/>
  </si>
  <si>
    <t>給与所得者
等の数</t>
    <rPh sb="0" eb="2">
      <t>きゅうよ</t>
    </rPh>
    <rPh sb="2" eb="5">
      <t>しょとくしゃ</t>
    </rPh>
    <rPh sb="6" eb="7">
      <t>とう</t>
    </rPh>
    <rPh sb="8" eb="9">
      <t>かず</t>
    </rPh>
    <phoneticPr fontId="1" type="Hiragana"/>
  </si>
  <si>
    <t>⇒</t>
  </si>
  <si>
    <t>平等割</t>
    <rPh sb="0" eb="3">
      <t>びょうどうわり</t>
    </rPh>
    <phoneticPr fontId="1" type="Hiragana"/>
  </si>
  <si>
    <t>計</t>
    <rPh sb="0" eb="1">
      <t>けい</t>
    </rPh>
    <phoneticPr fontId="1" type="Hiragana"/>
  </si>
  <si>
    <t>介護保険分</t>
    <rPh sb="0" eb="2">
      <t>かいご</t>
    </rPh>
    <rPh sb="2" eb="4">
      <t>ほけん</t>
    </rPh>
    <rPh sb="4" eb="5">
      <t>ぶん</t>
    </rPh>
    <phoneticPr fontId="1" type="Hiragana"/>
  </si>
  <si>
    <t>1942年</t>
    <rPh sb="4" eb="5">
      <t>ねん</t>
    </rPh>
    <phoneticPr fontId="1" type="Hiragana"/>
  </si>
  <si>
    <t>昭和36年</t>
    <rPh sb="0" eb="2">
      <t>しょうわ</t>
    </rPh>
    <rPh sb="4" eb="5">
      <t>ねん</t>
    </rPh>
    <phoneticPr fontId="1" type="Hiragana"/>
  </si>
  <si>
    <t>未就学児
基準年月日</t>
    <rPh sb="0" eb="4">
      <t>みしゅうがくじ</t>
    </rPh>
    <rPh sb="5" eb="7">
      <t>きじゅん</t>
    </rPh>
    <rPh sb="7" eb="10">
      <t>ねんがっぴ</t>
    </rPh>
    <phoneticPr fontId="1" type="Hiragana"/>
  </si>
  <si>
    <t>左記基準現在
の年齢</t>
    <rPh sb="0" eb="2">
      <t>さき</t>
    </rPh>
    <rPh sb="2" eb="4">
      <t>きじゅん</t>
    </rPh>
    <rPh sb="4" eb="6">
      <t>げんざい</t>
    </rPh>
    <rPh sb="8" eb="10">
      <t>ねんれい</t>
    </rPh>
    <phoneticPr fontId="1" type="Hiragana"/>
  </si>
  <si>
    <t>昭和29年</t>
    <rPh sb="0" eb="2">
      <t>しょうわ</t>
    </rPh>
    <rPh sb="4" eb="5">
      <t>ねん</t>
    </rPh>
    <phoneticPr fontId="1" type="Hiragana"/>
  </si>
  <si>
    <t>未就学児
均等割軽減割</t>
    <rPh sb="0" eb="4">
      <t>みしゅうがくじ</t>
    </rPh>
    <rPh sb="5" eb="8">
      <t>きんとうわり</t>
    </rPh>
    <rPh sb="8" eb="10">
      <t>けいげん</t>
    </rPh>
    <rPh sb="10" eb="11">
      <t>わ</t>
    </rPh>
    <phoneticPr fontId="1" type="Hiragana"/>
  </si>
  <si>
    <t>平成14年</t>
    <rPh sb="0" eb="2">
      <t>へいせい</t>
    </rPh>
    <rPh sb="4" eb="5">
      <t>ねん</t>
    </rPh>
    <phoneticPr fontId="1" type="Hiragana"/>
  </si>
  <si>
    <t>所得割</t>
    <rPh sb="0" eb="3">
      <t>しょとくわり</t>
    </rPh>
    <phoneticPr fontId="1" type="Hiragana"/>
  </si>
  <si>
    <t>均等割</t>
    <rPh sb="0" eb="3">
      <t>きんとうわり</t>
    </rPh>
    <phoneticPr fontId="1" type="Hiragana"/>
  </si>
  <si>
    <t>年間保険税額</t>
    <rPh sb="0" eb="2">
      <t>ねんかん</t>
    </rPh>
    <rPh sb="2" eb="5">
      <t>ほけんぜい</t>
    </rPh>
    <rPh sb="5" eb="6">
      <t>がく</t>
    </rPh>
    <phoneticPr fontId="1" type="Hiragana"/>
  </si>
  <si>
    <t>○</t>
  </si>
  <si>
    <t>・ 国民健康保険税は、世帯主（国民健康保険でない場合も含む）に課税されます。</t>
    <rPh sb="2" eb="4">
      <t>こくみん</t>
    </rPh>
    <rPh sb="4" eb="6">
      <t>けんこう</t>
    </rPh>
    <rPh sb="6" eb="9">
      <t>ほけんぜい</t>
    </rPh>
    <rPh sb="11" eb="14">
      <t>せたいぬし</t>
    </rPh>
    <rPh sb="15" eb="17">
      <t>こくみん</t>
    </rPh>
    <rPh sb="17" eb="19">
      <t>けんこう</t>
    </rPh>
    <rPh sb="19" eb="21">
      <t>ほけん</t>
    </rPh>
    <rPh sb="24" eb="26">
      <t>ばあい</t>
    </rPh>
    <rPh sb="27" eb="28">
      <t>ふく</t>
    </rPh>
    <rPh sb="31" eb="33">
      <t>かぜい</t>
    </rPh>
    <phoneticPr fontId="1" type="Hiragana"/>
  </si>
  <si>
    <t>・ この試算表による税額は概算ですので、実際の税額と異なる場合があります。</t>
    <rPh sb="4" eb="7">
      <t>しさんひょう</t>
    </rPh>
    <rPh sb="10" eb="12">
      <t>ぜいがく</t>
    </rPh>
    <rPh sb="13" eb="15">
      <t>がいさん</t>
    </rPh>
    <rPh sb="20" eb="22">
      <t>じっさい</t>
    </rPh>
    <rPh sb="23" eb="25">
      <t>ぜいがく</t>
    </rPh>
    <rPh sb="26" eb="27">
      <t>こと</t>
    </rPh>
    <rPh sb="29" eb="31">
      <t>ばあい</t>
    </rPh>
    <phoneticPr fontId="1" type="Hiragana"/>
  </si>
  <si>
    <t>2004年</t>
    <rPh sb="4" eb="5">
      <t>ねん</t>
    </rPh>
    <phoneticPr fontId="1" type="Hiragana"/>
  </si>
  <si>
    <t>均等割額</t>
    <rPh sb="0" eb="4">
      <t>きんとうわりがく</t>
    </rPh>
    <phoneticPr fontId="1" type="Hiragana"/>
  </si>
  <si>
    <t>最高10万円</t>
    <rPh sb="0" eb="2">
      <t>さいこう</t>
    </rPh>
    <rPh sb="4" eb="6">
      <t>まんえん</t>
    </rPh>
    <phoneticPr fontId="1" type="Hiragana"/>
  </si>
  <si>
    <t>●次をお読みになり、下表に入力してください。</t>
    <rPh sb="1" eb="2">
      <t>つぎ</t>
    </rPh>
    <rPh sb="4" eb="5">
      <t>よ</t>
    </rPh>
    <rPh sb="10" eb="11">
      <t>した</t>
    </rPh>
    <rPh sb="11" eb="12">
      <t>ひょう</t>
    </rPh>
    <rPh sb="13" eb="15">
      <t>にゅうりょく</t>
    </rPh>
    <phoneticPr fontId="1" type="Hiragana"/>
  </si>
  <si>
    <t>1951年</t>
    <rPh sb="4" eb="5">
      <t>ねん</t>
    </rPh>
    <phoneticPr fontId="1" type="Hiragana"/>
  </si>
  <si>
    <t>2009年</t>
    <rPh sb="4" eb="5">
      <t>ねん</t>
    </rPh>
    <phoneticPr fontId="1" type="Hiragana"/>
  </si>
  <si>
    <t>1955年</t>
    <rPh sb="4" eb="5">
      <t>ねん</t>
    </rPh>
    <phoneticPr fontId="1" type="Hiragana"/>
  </si>
  <si>
    <t>3　給与収入金額（源泉徴収票の支払金額）が、2か所以上ある方は合計して入力してください。</t>
    <rPh sb="2" eb="4">
      <t>きゅうよ</t>
    </rPh>
    <rPh sb="4" eb="6">
      <t>しゅうにゅう</t>
    </rPh>
    <rPh sb="6" eb="8">
      <t>きんがく</t>
    </rPh>
    <rPh sb="9" eb="11">
      <t>げんせん</t>
    </rPh>
    <rPh sb="11" eb="14">
      <t>ちょうしゅうひょう</t>
    </rPh>
    <rPh sb="15" eb="17">
      <t>しはらい</t>
    </rPh>
    <rPh sb="17" eb="19">
      <t>きんがく</t>
    </rPh>
    <rPh sb="24" eb="25">
      <t>しょ</t>
    </rPh>
    <rPh sb="25" eb="27">
      <t>いじょう</t>
    </rPh>
    <rPh sb="29" eb="30">
      <t>かた</t>
    </rPh>
    <rPh sb="31" eb="33">
      <t>ごうけい</t>
    </rPh>
    <rPh sb="35" eb="37">
      <t>にゅうりょく</t>
    </rPh>
    <phoneticPr fontId="1" type="Hiragana"/>
  </si>
  <si>
    <t>令和8年11月</t>
    <rPh sb="0" eb="2">
      <t>れいわ</t>
    </rPh>
    <rPh sb="3" eb="4">
      <t>ねん</t>
    </rPh>
    <rPh sb="6" eb="7">
      <t>がつ</t>
    </rPh>
    <phoneticPr fontId="1" type="Hiragana"/>
  </si>
  <si>
    <t>4　年金収入金額（厚生年金・国民年金・共済年金・企業年金の源泉徴収票の支払金額の合計）を入力してください。</t>
    <rPh sb="2" eb="4">
      <t>ねんきん</t>
    </rPh>
    <rPh sb="4" eb="6">
      <t>しゅうにゅう</t>
    </rPh>
    <rPh sb="6" eb="8">
      <t>きんがく</t>
    </rPh>
    <rPh sb="9" eb="11">
      <t>こうせい</t>
    </rPh>
    <rPh sb="11" eb="13">
      <t>ねんきん</t>
    </rPh>
    <rPh sb="14" eb="16">
      <t>こくみん</t>
    </rPh>
    <rPh sb="16" eb="18">
      <t>ねんきん</t>
    </rPh>
    <rPh sb="19" eb="21">
      <t>きょうさい</t>
    </rPh>
    <rPh sb="21" eb="23">
      <t>ねんきん</t>
    </rPh>
    <rPh sb="24" eb="26">
      <t>きぎょう</t>
    </rPh>
    <rPh sb="26" eb="28">
      <t>ねんきん</t>
    </rPh>
    <rPh sb="29" eb="31">
      <t>げんせん</t>
    </rPh>
    <rPh sb="31" eb="34">
      <t>ちょうしゅうひょう</t>
    </rPh>
    <rPh sb="35" eb="37">
      <t>しはらい</t>
    </rPh>
    <rPh sb="37" eb="39">
      <t>きんがく</t>
    </rPh>
    <rPh sb="40" eb="42">
      <t>ごうけい</t>
    </rPh>
    <rPh sb="44" eb="46">
      <t>にゅうりょく</t>
    </rPh>
    <phoneticPr fontId="1" type="Hiragana"/>
  </si>
  <si>
    <t>昭和39年</t>
    <rPh sb="0" eb="2">
      <t>しょうわ</t>
    </rPh>
    <rPh sb="4" eb="5">
      <t>ねん</t>
    </rPh>
    <phoneticPr fontId="1" type="Hiragana"/>
  </si>
  <si>
    <t>　　※次の場合には、正確な試算ができませんので、直接お問い合わせください。</t>
    <rPh sb="3" eb="4">
      <t>つぎ</t>
    </rPh>
    <rPh sb="5" eb="7">
      <t>ばあい</t>
    </rPh>
    <rPh sb="10" eb="12">
      <t>せいかく</t>
    </rPh>
    <rPh sb="13" eb="15">
      <t>しさん</t>
    </rPh>
    <rPh sb="24" eb="26">
      <t>ちょくせつ</t>
    </rPh>
    <rPh sb="27" eb="28">
      <t>と</t>
    </rPh>
    <rPh sb="29" eb="30">
      <t>あ</t>
    </rPh>
    <phoneticPr fontId="1" type="Hiragana"/>
  </si>
  <si>
    <t>　　ただし、遺族年金・障害年金は除きます。</t>
    <rPh sb="6" eb="8">
      <t>いぞく</t>
    </rPh>
    <rPh sb="8" eb="10">
      <t>ねんきん</t>
    </rPh>
    <rPh sb="11" eb="13">
      <t>しょうがい</t>
    </rPh>
    <rPh sb="13" eb="15">
      <t>ねんきん</t>
    </rPh>
    <rPh sb="16" eb="17">
      <t>のぞ</t>
    </rPh>
    <phoneticPr fontId="1" type="Hiragana"/>
  </si>
  <si>
    <t>大正11年</t>
    <rPh sb="0" eb="2">
      <t>たいしょう</t>
    </rPh>
    <rPh sb="4" eb="5">
      <t>ねん</t>
    </rPh>
    <phoneticPr fontId="1" type="Hiragana"/>
  </si>
  <si>
    <t>　　　  ・分離課税所得、専従者給与・控除、純・雑損失の繰越控除がある方がいる場合</t>
    <rPh sb="6" eb="8">
      <t>ぶんり</t>
    </rPh>
    <rPh sb="8" eb="10">
      <t>かぜい</t>
    </rPh>
    <rPh sb="10" eb="12">
      <t>しょとく</t>
    </rPh>
    <rPh sb="13" eb="16">
      <t>せんじゅうしゃ</t>
    </rPh>
    <rPh sb="16" eb="18">
      <t>きゅうよ</t>
    </rPh>
    <rPh sb="19" eb="21">
      <t>こうじょ</t>
    </rPh>
    <rPh sb="22" eb="23">
      <t>じゅん</t>
    </rPh>
    <rPh sb="24" eb="27">
      <t>ざつそんしつ</t>
    </rPh>
    <rPh sb="28" eb="30">
      <t>くりこし</t>
    </rPh>
    <rPh sb="30" eb="32">
      <t>こうじょ</t>
    </rPh>
    <rPh sb="35" eb="36">
      <t>かた</t>
    </rPh>
    <rPh sb="39" eb="41">
      <t>ばあい</t>
    </rPh>
    <phoneticPr fontId="1" type="Hiragana"/>
  </si>
  <si>
    <t>　　　　・世帯主及び加入者に所得不明者（未申告者）がいる場合</t>
    <rPh sb="5" eb="8">
      <t>せたいぬし</t>
    </rPh>
    <rPh sb="8" eb="9">
      <t>およ</t>
    </rPh>
    <rPh sb="10" eb="13">
      <t>かにゅうしゃ</t>
    </rPh>
    <rPh sb="14" eb="16">
      <t>しょとく</t>
    </rPh>
    <rPh sb="16" eb="19">
      <t>ふめいしゃ</t>
    </rPh>
    <rPh sb="20" eb="23">
      <t>みしんこく</t>
    </rPh>
    <rPh sb="23" eb="24">
      <t>しゃ</t>
    </rPh>
    <rPh sb="28" eb="30">
      <t>ばあい</t>
    </rPh>
    <phoneticPr fontId="1" type="Hiragana"/>
  </si>
  <si>
    <t>　　　  ・雇用保険受給資格者（特定受給資格者、特定理由離職者）に対する軽減に該当する方がいる場合</t>
    <rPh sb="6" eb="8">
      <t>こよう</t>
    </rPh>
    <rPh sb="8" eb="10">
      <t>ほけん</t>
    </rPh>
    <rPh sb="10" eb="12">
      <t>じゅきゅう</t>
    </rPh>
    <rPh sb="12" eb="14">
      <t>しかく</t>
    </rPh>
    <rPh sb="14" eb="15">
      <t>しゃ</t>
    </rPh>
    <rPh sb="16" eb="18">
      <t>とくてい</t>
    </rPh>
    <rPh sb="18" eb="20">
      <t>じゅきゅう</t>
    </rPh>
    <rPh sb="20" eb="23">
      <t>しかくしゃ</t>
    </rPh>
    <rPh sb="24" eb="26">
      <t>とくてい</t>
    </rPh>
    <rPh sb="26" eb="28">
      <t>りゆう</t>
    </rPh>
    <rPh sb="28" eb="31">
      <t>りしょくしゃ</t>
    </rPh>
    <rPh sb="33" eb="34">
      <t>たい</t>
    </rPh>
    <rPh sb="36" eb="38">
      <t>けいげん</t>
    </rPh>
    <rPh sb="39" eb="41">
      <t>がいとう</t>
    </rPh>
    <rPh sb="43" eb="44">
      <t>かた</t>
    </rPh>
    <rPh sb="47" eb="49">
      <t>ばあい</t>
    </rPh>
    <phoneticPr fontId="1" type="Hiragana"/>
  </si>
  <si>
    <t>★以下の欄（黄色）に半角数字で入力してください。</t>
    <rPh sb="1" eb="3">
      <t>いか</t>
    </rPh>
    <rPh sb="4" eb="5">
      <t>らん</t>
    </rPh>
    <rPh sb="6" eb="8">
      <t>きいろ</t>
    </rPh>
    <rPh sb="10" eb="12">
      <t>はんかく</t>
    </rPh>
    <rPh sb="12" eb="14">
      <t>すうじ</t>
    </rPh>
    <rPh sb="15" eb="17">
      <t>にゅうりょく</t>
    </rPh>
    <phoneticPr fontId="1" type="Hiragana"/>
  </si>
  <si>
    <t>1940年</t>
    <rPh sb="4" eb="5">
      <t>ねん</t>
    </rPh>
    <phoneticPr fontId="1" type="Hiragana"/>
  </si>
  <si>
    <t>1996年</t>
    <rPh sb="4" eb="5">
      <t>ねん</t>
    </rPh>
    <phoneticPr fontId="1" type="Hiragana"/>
  </si>
  <si>
    <t>2014年</t>
    <rPh sb="4" eb="5">
      <t>ねん</t>
    </rPh>
    <phoneticPr fontId="1" type="Hiragana"/>
  </si>
  <si>
    <t>平成26年</t>
    <rPh sb="0" eb="2">
      <t>へいせい</t>
    </rPh>
    <rPh sb="4" eb="5">
      <t>ねん</t>
    </rPh>
    <phoneticPr fontId="1" type="Hiragana"/>
  </si>
  <si>
    <t>平成31年
令和元年</t>
    <rPh sb="0" eb="2">
      <t>へいせい</t>
    </rPh>
    <rPh sb="4" eb="5">
      <t>ねん</t>
    </rPh>
    <rPh sb="6" eb="8">
      <t>れいわ</t>
    </rPh>
    <rPh sb="8" eb="10">
      <t>がんねん</t>
    </rPh>
    <phoneticPr fontId="1" type="Hiragana"/>
  </si>
  <si>
    <t>医療保険分</t>
    <rPh sb="0" eb="2">
      <t>いりょう</t>
    </rPh>
    <rPh sb="2" eb="4">
      <t>ほけん</t>
    </rPh>
    <rPh sb="4" eb="5">
      <t>ぶん</t>
    </rPh>
    <phoneticPr fontId="1" type="Hiragana"/>
  </si>
  <si>
    <t>1948年</t>
    <rPh sb="4" eb="5">
      <t>ねん</t>
    </rPh>
    <phoneticPr fontId="1" type="Hiragana"/>
  </si>
  <si>
    <t>後期高齢者支援金分</t>
    <rPh sb="0" eb="2">
      <t>こうき</t>
    </rPh>
    <rPh sb="2" eb="5">
      <t>こうれいしゃ</t>
    </rPh>
    <rPh sb="5" eb="7">
      <t>しえん</t>
    </rPh>
    <rPh sb="7" eb="9">
      <t>きんぶん</t>
    </rPh>
    <phoneticPr fontId="1" type="Hiragana"/>
  </si>
  <si>
    <t>昭和60年</t>
    <rPh sb="0" eb="2">
      <t>しょうわ</t>
    </rPh>
    <rPh sb="4" eb="5">
      <t>ねん</t>
    </rPh>
    <phoneticPr fontId="1" type="Hiragana"/>
  </si>
  <si>
    <t>所得割額</t>
    <rPh sb="0" eb="3">
      <t>しょとくわり</t>
    </rPh>
    <rPh sb="3" eb="4">
      <t>がく</t>
    </rPh>
    <phoneticPr fontId="1" type="Hiragana"/>
  </si>
  <si>
    <t>平等割額</t>
    <rPh sb="0" eb="3">
      <t>びょうどうわり</t>
    </rPh>
    <rPh sb="3" eb="4">
      <t>がく</t>
    </rPh>
    <phoneticPr fontId="1" type="Hiragana"/>
  </si>
  <si>
    <t>年　　間</t>
    <rPh sb="0" eb="1">
      <t>とし</t>
    </rPh>
    <rPh sb="3" eb="4">
      <t>あいだ</t>
    </rPh>
    <phoneticPr fontId="1" type="Hiragana"/>
  </si>
  <si>
    <t>1995年</t>
    <rPh sb="4" eb="5">
      <t>ねん</t>
    </rPh>
    <phoneticPr fontId="1" type="Hiragana"/>
  </si>
  <si>
    <t>（概算）</t>
    <rPh sb="1" eb="3">
      <t>がいさん</t>
    </rPh>
    <phoneticPr fontId="1" type="Hiragana"/>
  </si>
  <si>
    <t>1965年</t>
    <rPh sb="4" eb="5">
      <t>ねん</t>
    </rPh>
    <phoneticPr fontId="1" type="Hiragana"/>
  </si>
  <si>
    <t>2017年</t>
    <rPh sb="4" eb="5">
      <t>ねん</t>
    </rPh>
    <phoneticPr fontId="1" type="Hiragana"/>
  </si>
  <si>
    <t>軽減割合</t>
    <rPh sb="0" eb="2">
      <t>けいげん</t>
    </rPh>
    <rPh sb="2" eb="4">
      <t>わりあい</t>
    </rPh>
    <phoneticPr fontId="1" type="Hiragana"/>
  </si>
  <si>
    <t>×</t>
  </si>
  <si>
    <t>円</t>
    <rPh sb="0" eb="1">
      <t>えん</t>
    </rPh>
    <phoneticPr fontId="1" type="Hiragana"/>
  </si>
  <si>
    <r>
      <t xml:space="preserve">年
</t>
    </r>
    <r>
      <rPr>
        <sz val="10"/>
        <color theme="1"/>
        <rFont val="ＭＳ Ｐゴシック"/>
        <family val="3"/>
        <charset val="128"/>
      </rPr>
      <t>（西暦）</t>
    </r>
    <rPh sb="0" eb="1">
      <t>ねん</t>
    </rPh>
    <rPh sb="3" eb="5">
      <t>せいれき</t>
    </rPh>
    <phoneticPr fontId="1" type="Hiragana"/>
  </si>
  <si>
    <t>5月</t>
    <rPh sb="1" eb="2">
      <t>がつ</t>
    </rPh>
    <phoneticPr fontId="1" type="Hiragana"/>
  </si>
  <si>
    <t>西暦・元号早見表</t>
    <rPh sb="0" eb="2">
      <t>せいれき</t>
    </rPh>
    <rPh sb="3" eb="5">
      <t>げんごう</t>
    </rPh>
    <rPh sb="5" eb="8">
      <t>はやみひょう</t>
    </rPh>
    <phoneticPr fontId="1" type="Hiragana"/>
  </si>
  <si>
    <t>大正14年</t>
    <rPh sb="0" eb="2">
      <t>たいしょう</t>
    </rPh>
    <rPh sb="4" eb="5">
      <t>ねん</t>
    </rPh>
    <phoneticPr fontId="1" type="Hiragana"/>
  </si>
  <si>
    <t>昭和8年</t>
    <rPh sb="0" eb="2">
      <t>しょうわ</t>
    </rPh>
    <rPh sb="3" eb="4">
      <t>ねん</t>
    </rPh>
    <phoneticPr fontId="1" type="Hiragana"/>
  </si>
  <si>
    <t>西暦</t>
    <rPh sb="0" eb="2">
      <t>せいれき</t>
    </rPh>
    <phoneticPr fontId="1" type="Hiragana"/>
  </si>
  <si>
    <t>元号</t>
    <rPh sb="0" eb="2">
      <t>げんごう</t>
    </rPh>
    <phoneticPr fontId="1" type="Hiragana"/>
  </si>
  <si>
    <t>1922年</t>
    <rPh sb="4" eb="5">
      <t>ねん</t>
    </rPh>
    <phoneticPr fontId="1" type="Hiragana"/>
  </si>
  <si>
    <t>2　加入している世帯員の方の生年月日を入力してください。（所得がない扶養家族の方も、年齢を入力してください。）</t>
    <rPh sb="2" eb="4">
      <t>かにゅう</t>
    </rPh>
    <rPh sb="8" eb="11">
      <t>せたいいん</t>
    </rPh>
    <rPh sb="12" eb="13">
      <t>かた</t>
    </rPh>
    <rPh sb="14" eb="16">
      <t>せいねん</t>
    </rPh>
    <rPh sb="16" eb="18">
      <t>がっぴ</t>
    </rPh>
    <rPh sb="19" eb="21">
      <t>にゅうりょく</t>
    </rPh>
    <rPh sb="29" eb="31">
      <t>しょとく</t>
    </rPh>
    <rPh sb="34" eb="36">
      <t>ふよう</t>
    </rPh>
    <rPh sb="36" eb="38">
      <t>かぞく</t>
    </rPh>
    <rPh sb="39" eb="40">
      <t>かた</t>
    </rPh>
    <rPh sb="42" eb="44">
      <t>ねんれい</t>
    </rPh>
    <rPh sb="45" eb="47">
      <t>にゅうりょく</t>
    </rPh>
    <phoneticPr fontId="1" type="Hiragana"/>
  </si>
  <si>
    <t>1923年</t>
    <rPh sb="4" eb="5">
      <t>ねん</t>
    </rPh>
    <phoneticPr fontId="1" type="Hiragana"/>
  </si>
  <si>
    <t>1924年</t>
    <rPh sb="4" eb="5">
      <t>ねん</t>
    </rPh>
    <phoneticPr fontId="1" type="Hiragana"/>
  </si>
  <si>
    <t>1925年</t>
    <rPh sb="4" eb="5">
      <t>ねん</t>
    </rPh>
    <phoneticPr fontId="1" type="Hiragana"/>
  </si>
  <si>
    <t>1973年</t>
    <rPh sb="4" eb="5">
      <t>ねん</t>
    </rPh>
    <phoneticPr fontId="1" type="Hiragana"/>
  </si>
  <si>
    <t>平成19年</t>
    <rPh sb="0" eb="2">
      <t>へいせい</t>
    </rPh>
    <rPh sb="4" eb="5">
      <t>ねん</t>
    </rPh>
    <phoneticPr fontId="1" type="Hiragana"/>
  </si>
  <si>
    <t>1926年</t>
    <rPh sb="4" eb="5">
      <t>ねん</t>
    </rPh>
    <phoneticPr fontId="1" type="Hiragana"/>
  </si>
  <si>
    <t>1927年</t>
    <rPh sb="4" eb="5">
      <t>ねん</t>
    </rPh>
    <phoneticPr fontId="1" type="Hiragana"/>
  </si>
  <si>
    <t>1930年</t>
    <rPh sb="4" eb="5">
      <t>ねん</t>
    </rPh>
    <phoneticPr fontId="1" type="Hiragana"/>
  </si>
  <si>
    <t>1954年</t>
    <rPh sb="4" eb="5">
      <t>ねん</t>
    </rPh>
    <phoneticPr fontId="1" type="Hiragana"/>
  </si>
  <si>
    <t>1931年</t>
    <rPh sb="4" eb="5">
      <t>ねん</t>
    </rPh>
    <phoneticPr fontId="1" type="Hiragana"/>
  </si>
  <si>
    <t>1964年</t>
    <rPh sb="4" eb="5">
      <t>ねん</t>
    </rPh>
    <phoneticPr fontId="1" type="Hiragana"/>
  </si>
  <si>
    <t>1933年</t>
    <rPh sb="4" eb="5">
      <t>ねん</t>
    </rPh>
    <phoneticPr fontId="1" type="Hiragana"/>
  </si>
  <si>
    <t>昭和14年</t>
    <rPh sb="0" eb="2">
      <t>しょうわ</t>
    </rPh>
    <rPh sb="4" eb="5">
      <t>ねん</t>
    </rPh>
    <phoneticPr fontId="1" type="Hiragana"/>
  </si>
  <si>
    <t>1934年</t>
    <rPh sb="4" eb="5">
      <t>ねん</t>
    </rPh>
    <phoneticPr fontId="1" type="Hiragana"/>
  </si>
  <si>
    <t>第1期</t>
    <rPh sb="0" eb="1">
      <t>だい</t>
    </rPh>
    <rPh sb="2" eb="3">
      <t>き</t>
    </rPh>
    <phoneticPr fontId="1" type="Hiragana"/>
  </si>
  <si>
    <t>1935年</t>
    <rPh sb="4" eb="5">
      <t>ねん</t>
    </rPh>
    <phoneticPr fontId="1" type="Hiragana"/>
  </si>
  <si>
    <t>昭和56年</t>
    <rPh sb="0" eb="2">
      <t>しょうわ</t>
    </rPh>
    <rPh sb="4" eb="5">
      <t>ねん</t>
    </rPh>
    <phoneticPr fontId="1" type="Hiragana"/>
  </si>
  <si>
    <t>1936年</t>
    <rPh sb="4" eb="5">
      <t>ねん</t>
    </rPh>
    <phoneticPr fontId="1" type="Hiragana"/>
  </si>
  <si>
    <t>2001年</t>
    <rPh sb="4" eb="5">
      <t>ねん</t>
    </rPh>
    <phoneticPr fontId="1" type="Hiragana"/>
  </si>
  <si>
    <t>1928年</t>
    <rPh sb="4" eb="5">
      <t>ねん</t>
    </rPh>
    <phoneticPr fontId="1" type="Hiragana"/>
  </si>
  <si>
    <t>1982年</t>
    <rPh sb="4" eb="5">
      <t>ねん</t>
    </rPh>
    <phoneticPr fontId="1" type="Hiragana"/>
  </si>
  <si>
    <t>1929年</t>
    <rPh sb="4" eb="5">
      <t>ねん</t>
    </rPh>
    <phoneticPr fontId="1" type="Hiragana"/>
  </si>
  <si>
    <t>1958年</t>
    <rPh sb="4" eb="5">
      <t>ねん</t>
    </rPh>
    <phoneticPr fontId="1" type="Hiragana"/>
  </si>
  <si>
    <t>大正12年</t>
    <rPh sb="0" eb="2">
      <t>たいしょう</t>
    </rPh>
    <rPh sb="4" eb="5">
      <t>ねん</t>
    </rPh>
    <phoneticPr fontId="1" type="Hiragana"/>
  </si>
  <si>
    <t>大正13年</t>
    <rPh sb="0" eb="2">
      <t>たいしょう</t>
    </rPh>
    <rPh sb="4" eb="5">
      <t>ねん</t>
    </rPh>
    <phoneticPr fontId="1" type="Hiragana"/>
  </si>
  <si>
    <t>大正15年
昭和元年</t>
    <rPh sb="0" eb="2">
      <t>たいしょう</t>
    </rPh>
    <rPh sb="4" eb="5">
      <t>ねん</t>
    </rPh>
    <rPh sb="6" eb="8">
      <t>しょうわ</t>
    </rPh>
    <rPh sb="8" eb="10">
      <t>がんねん</t>
    </rPh>
    <phoneticPr fontId="1" type="Hiragana"/>
  </si>
  <si>
    <t>1994年</t>
    <rPh sb="4" eb="5">
      <t>ねん</t>
    </rPh>
    <phoneticPr fontId="1" type="Hiragana"/>
  </si>
  <si>
    <t>昭和2年</t>
    <rPh sb="0" eb="2">
      <t>しょうわ</t>
    </rPh>
    <rPh sb="3" eb="4">
      <t>ねん</t>
    </rPh>
    <phoneticPr fontId="1" type="Hiragana"/>
  </si>
  <si>
    <t>昭和3年</t>
    <rPh sb="0" eb="2">
      <t>しょうわ</t>
    </rPh>
    <rPh sb="3" eb="4">
      <t>ねん</t>
    </rPh>
    <phoneticPr fontId="1" type="Hiragana"/>
  </si>
  <si>
    <t>平成10年</t>
    <rPh sb="0" eb="2">
      <t>へいせい</t>
    </rPh>
    <rPh sb="4" eb="5">
      <t>ねん</t>
    </rPh>
    <phoneticPr fontId="1" type="Hiragana"/>
  </si>
  <si>
    <t>昭和4年</t>
    <rPh sb="0" eb="2">
      <t>しょうわ</t>
    </rPh>
    <rPh sb="3" eb="4">
      <t>ねん</t>
    </rPh>
    <phoneticPr fontId="1" type="Hiragana"/>
  </si>
  <si>
    <t>昭和5年</t>
    <rPh sb="0" eb="2">
      <t>しょうわ</t>
    </rPh>
    <rPh sb="3" eb="4">
      <t>ねん</t>
    </rPh>
    <phoneticPr fontId="1" type="Hiragana"/>
  </si>
  <si>
    <t>昭和6年</t>
    <rPh sb="0" eb="2">
      <t>しょうわ</t>
    </rPh>
    <rPh sb="3" eb="4">
      <t>ねん</t>
    </rPh>
    <phoneticPr fontId="1" type="Hiragana"/>
  </si>
  <si>
    <t>1991年</t>
    <rPh sb="4" eb="5">
      <t>ねん</t>
    </rPh>
    <phoneticPr fontId="1" type="Hiragana"/>
  </si>
  <si>
    <t>昭和7年</t>
    <rPh sb="0" eb="2">
      <t>しょうわ</t>
    </rPh>
    <rPh sb="3" eb="4">
      <t>ねん</t>
    </rPh>
    <phoneticPr fontId="1" type="Hiragana"/>
  </si>
  <si>
    <t>昭和9年</t>
    <rPh sb="0" eb="2">
      <t>しょうわ</t>
    </rPh>
    <rPh sb="3" eb="4">
      <t>ねん</t>
    </rPh>
    <phoneticPr fontId="1" type="Hiragana"/>
  </si>
  <si>
    <t>昭和10年</t>
    <rPh sb="0" eb="2">
      <t>しょうわ</t>
    </rPh>
    <rPh sb="4" eb="5">
      <t>ねん</t>
    </rPh>
    <phoneticPr fontId="1" type="Hiragana"/>
  </si>
  <si>
    <t>1960年</t>
    <rPh sb="4" eb="5">
      <t>ねん</t>
    </rPh>
    <phoneticPr fontId="1" type="Hiragana"/>
  </si>
  <si>
    <t>1937年</t>
    <rPh sb="4" eb="5">
      <t>ねん</t>
    </rPh>
    <phoneticPr fontId="1" type="Hiragana"/>
  </si>
  <si>
    <t>1938年</t>
    <rPh sb="4" eb="5">
      <t>ねん</t>
    </rPh>
    <phoneticPr fontId="1" type="Hiragana"/>
  </si>
  <si>
    <t>1941年</t>
    <rPh sb="4" eb="5">
      <t>ねん</t>
    </rPh>
    <phoneticPr fontId="1" type="Hiragana"/>
  </si>
  <si>
    <t>昭和18年</t>
    <rPh sb="0" eb="2">
      <t>しょうわ</t>
    </rPh>
    <rPh sb="4" eb="5">
      <t>ねん</t>
    </rPh>
    <phoneticPr fontId="1" type="Hiragana"/>
  </si>
  <si>
    <t>1943年</t>
    <rPh sb="4" eb="5">
      <t>ねん</t>
    </rPh>
    <phoneticPr fontId="1" type="Hiragana"/>
  </si>
  <si>
    <t>1944年</t>
    <rPh sb="4" eb="5">
      <t>ねん</t>
    </rPh>
    <phoneticPr fontId="1" type="Hiragana"/>
  </si>
  <si>
    <t>1945年</t>
    <rPh sb="4" eb="5">
      <t>ねん</t>
    </rPh>
    <phoneticPr fontId="1" type="Hiragana"/>
  </si>
  <si>
    <t>1946年</t>
    <rPh sb="4" eb="5">
      <t>ねん</t>
    </rPh>
    <phoneticPr fontId="1" type="Hiragana"/>
  </si>
  <si>
    <t>1993年</t>
    <rPh sb="4" eb="5">
      <t>ねん</t>
    </rPh>
    <phoneticPr fontId="1" type="Hiragana"/>
  </si>
  <si>
    <t>1947年</t>
    <rPh sb="4" eb="5">
      <t>ねん</t>
    </rPh>
    <phoneticPr fontId="1" type="Hiragana"/>
  </si>
  <si>
    <t>2007年</t>
    <rPh sb="4" eb="5">
      <t>ねん</t>
    </rPh>
    <phoneticPr fontId="1" type="Hiragana"/>
  </si>
  <si>
    <t>昭和12年</t>
    <rPh sb="0" eb="2">
      <t>しょうわ</t>
    </rPh>
    <rPh sb="4" eb="5">
      <t>ねん</t>
    </rPh>
    <phoneticPr fontId="1" type="Hiragana"/>
  </si>
  <si>
    <t>平成12年</t>
    <rPh sb="0" eb="2">
      <t>へいせい</t>
    </rPh>
    <rPh sb="4" eb="5">
      <t>ねん</t>
    </rPh>
    <phoneticPr fontId="1" type="Hiragana"/>
  </si>
  <si>
    <t>昭和13年</t>
    <rPh sb="0" eb="2">
      <t>しょうわ</t>
    </rPh>
    <rPh sb="4" eb="5">
      <t>ねん</t>
    </rPh>
    <phoneticPr fontId="1" type="Hiragana"/>
  </si>
  <si>
    <t>1972年</t>
    <rPh sb="4" eb="5">
      <t>ねん</t>
    </rPh>
    <phoneticPr fontId="1" type="Hiragana"/>
  </si>
  <si>
    <t>昭和15年</t>
    <rPh sb="0" eb="2">
      <t>しょうわ</t>
    </rPh>
    <rPh sb="4" eb="5">
      <t>ねん</t>
    </rPh>
    <phoneticPr fontId="1" type="Hiragana"/>
  </si>
  <si>
    <t>は税率等改正による更新</t>
    <rPh sb="1" eb="3">
      <t>ぜいりつ</t>
    </rPh>
    <rPh sb="3" eb="4">
      <t>とう</t>
    </rPh>
    <rPh sb="4" eb="6">
      <t>かいせい</t>
    </rPh>
    <rPh sb="9" eb="11">
      <t>こうしん</t>
    </rPh>
    <phoneticPr fontId="1" type="Hiragana"/>
  </si>
  <si>
    <t>昭和16年</t>
    <rPh sb="0" eb="2">
      <t>しょうわ</t>
    </rPh>
    <rPh sb="4" eb="5">
      <t>ねん</t>
    </rPh>
    <phoneticPr fontId="1" type="Hiragana"/>
  </si>
  <si>
    <t>昭和17年</t>
    <rPh sb="0" eb="2">
      <t>しょうわ</t>
    </rPh>
    <rPh sb="4" eb="5">
      <t>ねん</t>
    </rPh>
    <phoneticPr fontId="1" type="Hiragana"/>
  </si>
  <si>
    <t>昭和19年</t>
    <rPh sb="0" eb="2">
      <t>しょうわ</t>
    </rPh>
    <rPh sb="4" eb="5">
      <t>ねん</t>
    </rPh>
    <phoneticPr fontId="1" type="Hiragana"/>
  </si>
  <si>
    <t>昭和20年</t>
    <rPh sb="0" eb="2">
      <t>しょうわ</t>
    </rPh>
    <rPh sb="4" eb="5">
      <t>ねん</t>
    </rPh>
    <phoneticPr fontId="1" type="Hiragana"/>
  </si>
  <si>
    <t>昭和21年</t>
    <rPh sb="0" eb="2">
      <t>しょうわ</t>
    </rPh>
    <rPh sb="4" eb="5">
      <t>ねん</t>
    </rPh>
    <phoneticPr fontId="1" type="Hiragana"/>
  </si>
  <si>
    <t>年間</t>
    <rPh sb="0" eb="2">
      <t>ねんかん</t>
    </rPh>
    <phoneticPr fontId="1" type="Hiragana"/>
  </si>
  <si>
    <t>昭和22年</t>
    <rPh sb="0" eb="2">
      <t>しょうわ</t>
    </rPh>
    <rPh sb="4" eb="5">
      <t>ねん</t>
    </rPh>
    <phoneticPr fontId="1" type="Hiragana"/>
  </si>
  <si>
    <t>平成2年</t>
    <rPh sb="0" eb="2">
      <t>へいせい</t>
    </rPh>
    <rPh sb="3" eb="4">
      <t>ねん</t>
    </rPh>
    <phoneticPr fontId="1" type="Hiragana"/>
  </si>
  <si>
    <t>平成18年</t>
    <rPh sb="0" eb="2">
      <t>へいせい</t>
    </rPh>
    <rPh sb="4" eb="5">
      <t>ねん</t>
    </rPh>
    <phoneticPr fontId="1" type="Hiragana"/>
  </si>
  <si>
    <t>昭和24年</t>
    <rPh sb="0" eb="2">
      <t>しょうわ</t>
    </rPh>
    <rPh sb="4" eb="5">
      <t>ねん</t>
    </rPh>
    <phoneticPr fontId="1" type="Hiragana"/>
  </si>
  <si>
    <t>1950年</t>
    <rPh sb="4" eb="5">
      <t>ねん</t>
    </rPh>
    <phoneticPr fontId="1" type="Hiragana"/>
  </si>
  <si>
    <t>令和2年</t>
    <rPh sb="0" eb="2">
      <t>れいわ</t>
    </rPh>
    <rPh sb="3" eb="4">
      <t>ねん</t>
    </rPh>
    <phoneticPr fontId="1" type="Hiragana"/>
  </si>
  <si>
    <t>昭和25年</t>
    <rPh sb="0" eb="2">
      <t>しょうわ</t>
    </rPh>
    <rPh sb="4" eb="5">
      <t>ねん</t>
    </rPh>
    <phoneticPr fontId="1" type="Hiragana"/>
  </si>
  <si>
    <t>1988年</t>
    <rPh sb="4" eb="5">
      <t>ねん</t>
    </rPh>
    <phoneticPr fontId="1" type="Hiragana"/>
  </si>
  <si>
    <t>令和8年5月</t>
    <rPh sb="0" eb="2">
      <t>れいわ</t>
    </rPh>
    <rPh sb="3" eb="4">
      <t>ねん</t>
    </rPh>
    <rPh sb="5" eb="6">
      <t>がつ</t>
    </rPh>
    <phoneticPr fontId="1" type="Hiragana"/>
  </si>
  <si>
    <t>1952年</t>
    <rPh sb="4" eb="5">
      <t>ねん</t>
    </rPh>
    <phoneticPr fontId="1" type="Hiragana"/>
  </si>
  <si>
    <t>1953年</t>
    <rPh sb="4" eb="5">
      <t>ねん</t>
    </rPh>
    <phoneticPr fontId="1" type="Hiragana"/>
  </si>
  <si>
    <t>平成3年</t>
    <rPh sb="0" eb="2">
      <t>へいせい</t>
    </rPh>
    <rPh sb="3" eb="4">
      <t>ねん</t>
    </rPh>
    <phoneticPr fontId="1" type="Hiragana"/>
  </si>
  <si>
    <t>2019年</t>
    <rPh sb="4" eb="5">
      <t>ねん</t>
    </rPh>
    <phoneticPr fontId="1" type="Hiragana"/>
  </si>
  <si>
    <t>1956年</t>
    <rPh sb="4" eb="5">
      <t>ねん</t>
    </rPh>
    <phoneticPr fontId="1" type="Hiragana"/>
  </si>
  <si>
    <t>1959年</t>
    <rPh sb="4" eb="5">
      <t>ねん</t>
    </rPh>
    <phoneticPr fontId="1" type="Hiragana"/>
  </si>
  <si>
    <t>1961年</t>
    <rPh sb="4" eb="5">
      <t>ねん</t>
    </rPh>
    <phoneticPr fontId="1" type="Hiragana"/>
  </si>
  <si>
    <t>1962年</t>
    <rPh sb="4" eb="5">
      <t>ねん</t>
    </rPh>
    <phoneticPr fontId="1" type="Hiragana"/>
  </si>
  <si>
    <t>第3期</t>
    <rPh sb="0" eb="1">
      <t>だい</t>
    </rPh>
    <rPh sb="2" eb="3">
      <t>き</t>
    </rPh>
    <phoneticPr fontId="1" type="Hiragana"/>
  </si>
  <si>
    <t>1963年</t>
    <rPh sb="4" eb="5">
      <t>ねん</t>
    </rPh>
    <phoneticPr fontId="1" type="Hiragana"/>
  </si>
  <si>
    <t>昭和41年</t>
    <rPh sb="0" eb="2">
      <t>しょうわ</t>
    </rPh>
    <rPh sb="4" eb="5">
      <t>ねん</t>
    </rPh>
    <phoneticPr fontId="1" type="Hiragana"/>
  </si>
  <si>
    <t>昭和26年</t>
    <rPh sb="0" eb="2">
      <t>しょうわ</t>
    </rPh>
    <rPh sb="4" eb="5">
      <t>ねん</t>
    </rPh>
    <phoneticPr fontId="1" type="Hiragana"/>
  </si>
  <si>
    <t>昭和27年</t>
    <rPh sb="0" eb="2">
      <t>しょうわ</t>
    </rPh>
    <rPh sb="4" eb="5">
      <t>ねん</t>
    </rPh>
    <phoneticPr fontId="1" type="Hiragana"/>
  </si>
  <si>
    <t>昭和28年</t>
    <rPh sb="0" eb="2">
      <t>しょうわ</t>
    </rPh>
    <rPh sb="4" eb="5">
      <t>ねん</t>
    </rPh>
    <phoneticPr fontId="1" type="Hiragana"/>
  </si>
  <si>
    <t>昭和30年</t>
    <rPh sb="0" eb="2">
      <t>しょうわ</t>
    </rPh>
    <rPh sb="4" eb="5">
      <t>ねん</t>
    </rPh>
    <phoneticPr fontId="1" type="Hiragana"/>
  </si>
  <si>
    <t>昭和31年</t>
    <rPh sb="0" eb="2">
      <t>しょうわ</t>
    </rPh>
    <rPh sb="4" eb="5">
      <t>ねん</t>
    </rPh>
    <phoneticPr fontId="1" type="Hiragana"/>
  </si>
  <si>
    <t>所得割（医療分）</t>
    <rPh sb="0" eb="3">
      <t>しょとくわり</t>
    </rPh>
    <rPh sb="4" eb="6">
      <t>いりょう</t>
    </rPh>
    <rPh sb="6" eb="7">
      <t>ぶん</t>
    </rPh>
    <phoneticPr fontId="1" type="Hiragana"/>
  </si>
  <si>
    <t>昭和32年</t>
    <rPh sb="0" eb="2">
      <t>しょうわ</t>
    </rPh>
    <rPh sb="4" eb="5">
      <t>ねん</t>
    </rPh>
    <phoneticPr fontId="1" type="Hiragana"/>
  </si>
  <si>
    <t>昭和33年</t>
    <rPh sb="0" eb="2">
      <t>しょうわ</t>
    </rPh>
    <rPh sb="4" eb="5">
      <t>ねん</t>
    </rPh>
    <phoneticPr fontId="1" type="Hiragana"/>
  </si>
  <si>
    <t>平成4年</t>
    <rPh sb="0" eb="2">
      <t>へいせい</t>
    </rPh>
    <rPh sb="3" eb="4">
      <t>ねん</t>
    </rPh>
    <phoneticPr fontId="1" type="Hiragana"/>
  </si>
  <si>
    <t>昭和34年</t>
    <rPh sb="0" eb="2">
      <t>しょうわ</t>
    </rPh>
    <rPh sb="4" eb="5">
      <t>ねん</t>
    </rPh>
    <phoneticPr fontId="1" type="Hiragana"/>
  </si>
  <si>
    <t>昭和35年</t>
    <rPh sb="0" eb="2">
      <t>しょうわ</t>
    </rPh>
    <rPh sb="4" eb="5">
      <t>ねん</t>
    </rPh>
    <phoneticPr fontId="1" type="Hiragana"/>
  </si>
  <si>
    <t>8月</t>
    <rPh sb="1" eb="2">
      <t>がつ</t>
    </rPh>
    <phoneticPr fontId="1" type="Hiragana"/>
  </si>
  <si>
    <t>昭和37年</t>
    <rPh sb="0" eb="2">
      <t>しょうわ</t>
    </rPh>
    <rPh sb="4" eb="5">
      <t>ねん</t>
    </rPh>
    <phoneticPr fontId="1" type="Hiragana"/>
  </si>
  <si>
    <t>1966年</t>
    <rPh sb="4" eb="5">
      <t>ねん</t>
    </rPh>
    <phoneticPr fontId="1" type="Hiragana"/>
  </si>
  <si>
    <t>平成28年</t>
    <rPh sb="0" eb="2">
      <t>へいせい</t>
    </rPh>
    <rPh sb="4" eb="5">
      <t>ねん</t>
    </rPh>
    <phoneticPr fontId="1" type="Hiragana"/>
  </si>
  <si>
    <t>1967年</t>
    <rPh sb="4" eb="5">
      <t>ねん</t>
    </rPh>
    <phoneticPr fontId="1" type="Hiragana"/>
  </si>
  <si>
    <t>1968年</t>
    <rPh sb="4" eb="5">
      <t>ねん</t>
    </rPh>
    <phoneticPr fontId="1" type="Hiragana"/>
  </si>
  <si>
    <t>1969年</t>
    <rPh sb="4" eb="5">
      <t>ねん</t>
    </rPh>
    <phoneticPr fontId="1" type="Hiragana"/>
  </si>
  <si>
    <t>平成16年</t>
    <rPh sb="0" eb="2">
      <t>へいせい</t>
    </rPh>
    <rPh sb="4" eb="5">
      <t>ねん</t>
    </rPh>
    <phoneticPr fontId="1" type="Hiragana"/>
  </si>
  <si>
    <t>1970年</t>
    <rPh sb="4" eb="5">
      <t>ねん</t>
    </rPh>
    <phoneticPr fontId="1" type="Hiragana"/>
  </si>
  <si>
    <t>1971年</t>
    <rPh sb="4" eb="5">
      <t>ねん</t>
    </rPh>
    <phoneticPr fontId="1" type="Hiragana"/>
  </si>
  <si>
    <t>後期分</t>
    <rPh sb="0" eb="2">
      <t>こうき</t>
    </rPh>
    <rPh sb="2" eb="3">
      <t>ぶん</t>
    </rPh>
    <phoneticPr fontId="1" type="Hiragana"/>
  </si>
  <si>
    <t>1974年</t>
    <rPh sb="4" eb="5">
      <t>ねん</t>
    </rPh>
    <phoneticPr fontId="1" type="Hiragana"/>
  </si>
  <si>
    <t>1975年</t>
    <rPh sb="4" eb="5">
      <t>ねん</t>
    </rPh>
    <phoneticPr fontId="1" type="Hiragana"/>
  </si>
  <si>
    <t>1976年</t>
    <rPh sb="4" eb="5">
      <t>ねん</t>
    </rPh>
    <phoneticPr fontId="1" type="Hiragana"/>
  </si>
  <si>
    <t>1977年</t>
    <rPh sb="4" eb="5">
      <t>ねん</t>
    </rPh>
    <phoneticPr fontId="1" type="Hiragana"/>
  </si>
  <si>
    <t>昭和40年</t>
    <rPh sb="0" eb="2">
      <t>しょうわ</t>
    </rPh>
    <rPh sb="4" eb="5">
      <t>ねん</t>
    </rPh>
    <phoneticPr fontId="1" type="Hiragana"/>
  </si>
  <si>
    <t>昭和42年</t>
    <rPh sb="0" eb="2">
      <t>しょうわ</t>
    </rPh>
    <rPh sb="4" eb="5">
      <t>ねん</t>
    </rPh>
    <phoneticPr fontId="1" type="Hiragana"/>
  </si>
  <si>
    <t>介護の資格の有無</t>
    <rPh sb="0" eb="2">
      <t>かいご</t>
    </rPh>
    <rPh sb="3" eb="5">
      <t>しかく</t>
    </rPh>
    <rPh sb="6" eb="8">
      <t>うむ</t>
    </rPh>
    <phoneticPr fontId="1" type="Hiragana"/>
  </si>
  <si>
    <t>令和6年</t>
    <rPh sb="0" eb="2">
      <t>れいわ</t>
    </rPh>
    <rPh sb="3" eb="4">
      <t>ねん</t>
    </rPh>
    <phoneticPr fontId="1" type="Hiragana"/>
  </si>
  <si>
    <t>昭和43年</t>
    <rPh sb="0" eb="2">
      <t>しょうわ</t>
    </rPh>
    <rPh sb="4" eb="5">
      <t>ねん</t>
    </rPh>
    <phoneticPr fontId="1" type="Hiragana"/>
  </si>
  <si>
    <t>昭和44年</t>
    <rPh sb="0" eb="2">
      <t>しょうわ</t>
    </rPh>
    <rPh sb="4" eb="5">
      <t>ねん</t>
    </rPh>
    <phoneticPr fontId="1" type="Hiragana"/>
  </si>
  <si>
    <t>昭和45年</t>
    <rPh sb="0" eb="2">
      <t>しょうわ</t>
    </rPh>
    <rPh sb="4" eb="5">
      <t>ねん</t>
    </rPh>
    <phoneticPr fontId="1" type="Hiragana"/>
  </si>
  <si>
    <t>昭和46年</t>
    <rPh sb="0" eb="2">
      <t>しょうわ</t>
    </rPh>
    <rPh sb="4" eb="5">
      <t>ねん</t>
    </rPh>
    <phoneticPr fontId="1" type="Hiragana"/>
  </si>
  <si>
    <t>昭和47年</t>
    <rPh sb="0" eb="2">
      <t>しょうわ</t>
    </rPh>
    <rPh sb="4" eb="5">
      <t>ねん</t>
    </rPh>
    <phoneticPr fontId="1" type="Hiragana"/>
  </si>
  <si>
    <t>昭和48年</t>
    <rPh sb="0" eb="2">
      <t>しょうわ</t>
    </rPh>
    <rPh sb="4" eb="5">
      <t>ねん</t>
    </rPh>
    <phoneticPr fontId="1" type="Hiragana"/>
  </si>
  <si>
    <t>昭和49年</t>
    <rPh sb="0" eb="2">
      <t>しょうわ</t>
    </rPh>
    <rPh sb="4" eb="5">
      <t>ねん</t>
    </rPh>
    <phoneticPr fontId="1" type="Hiragana"/>
  </si>
  <si>
    <t>昭和50年</t>
    <rPh sb="0" eb="2">
      <t>しょうわ</t>
    </rPh>
    <rPh sb="4" eb="5">
      <t>ねん</t>
    </rPh>
    <phoneticPr fontId="1" type="Hiragana"/>
  </si>
  <si>
    <t>1990年</t>
    <rPh sb="4" eb="5">
      <t>ねん</t>
    </rPh>
    <phoneticPr fontId="1" type="Hiragana"/>
  </si>
  <si>
    <t>5　事業等その他の所得金額（確定申告書Aは⑧、確定申告書Bは⑫の欄等の金額）を入力してください。</t>
    <rPh sb="2" eb="4">
      <t>じぎょう</t>
    </rPh>
    <rPh sb="4" eb="5">
      <t>とう</t>
    </rPh>
    <rPh sb="7" eb="8">
      <t>た</t>
    </rPh>
    <rPh sb="9" eb="11">
      <t>しょとく</t>
    </rPh>
    <rPh sb="11" eb="13">
      <t>きんがく</t>
    </rPh>
    <rPh sb="14" eb="16">
      <t>かくてい</t>
    </rPh>
    <rPh sb="16" eb="18">
      <t>しんこく</t>
    </rPh>
    <rPh sb="18" eb="19">
      <t>しょ</t>
    </rPh>
    <rPh sb="23" eb="25">
      <t>かくてい</t>
    </rPh>
    <rPh sb="25" eb="27">
      <t>しんこく</t>
    </rPh>
    <rPh sb="27" eb="28">
      <t>しょ</t>
    </rPh>
    <rPh sb="32" eb="33">
      <t>らん</t>
    </rPh>
    <rPh sb="33" eb="34">
      <t>とう</t>
    </rPh>
    <rPh sb="35" eb="37">
      <t>きんがく</t>
    </rPh>
    <rPh sb="39" eb="41">
      <t>にゅうりょく</t>
    </rPh>
    <phoneticPr fontId="1" type="Hiragana"/>
  </si>
  <si>
    <t>昭和51年</t>
    <rPh sb="0" eb="2">
      <t>しょうわ</t>
    </rPh>
    <rPh sb="4" eb="5">
      <t>ねん</t>
    </rPh>
    <phoneticPr fontId="1" type="Hiragana"/>
  </si>
  <si>
    <t>所得割（介護分）</t>
    <rPh sb="0" eb="3">
      <t>しょとくわり</t>
    </rPh>
    <rPh sb="4" eb="6">
      <t>かいご</t>
    </rPh>
    <rPh sb="6" eb="7">
      <t>ぶん</t>
    </rPh>
    <phoneticPr fontId="1" type="Hiragana"/>
  </si>
  <si>
    <t>昭和52年</t>
    <rPh sb="0" eb="2">
      <t>しょうわ</t>
    </rPh>
    <rPh sb="4" eb="5">
      <t>ねん</t>
    </rPh>
    <phoneticPr fontId="1" type="Hiragana"/>
  </si>
  <si>
    <t>1981年</t>
    <rPh sb="4" eb="5">
      <t>ねん</t>
    </rPh>
    <phoneticPr fontId="1" type="Hiragana"/>
  </si>
  <si>
    <t>平成9年</t>
    <rPh sb="0" eb="2">
      <t>へいせい</t>
    </rPh>
    <rPh sb="3" eb="4">
      <t>ねん</t>
    </rPh>
    <phoneticPr fontId="1" type="Hiragana"/>
  </si>
  <si>
    <t>1978年</t>
    <rPh sb="4" eb="5">
      <t>ねん</t>
    </rPh>
    <phoneticPr fontId="1" type="Hiragana"/>
  </si>
  <si>
    <t>1979年</t>
    <rPh sb="4" eb="5">
      <t>ねん</t>
    </rPh>
    <phoneticPr fontId="1" type="Hiragana"/>
  </si>
  <si>
    <t>1980年</t>
    <rPh sb="4" eb="5">
      <t>ねん</t>
    </rPh>
    <phoneticPr fontId="1" type="Hiragana"/>
  </si>
  <si>
    <t>2021年</t>
    <rPh sb="4" eb="5">
      <t>ねん</t>
    </rPh>
    <phoneticPr fontId="1" type="Hiragana"/>
  </si>
  <si>
    <t>1983年</t>
    <rPh sb="4" eb="5">
      <t>ねん</t>
    </rPh>
    <phoneticPr fontId="1" type="Hiragana"/>
  </si>
  <si>
    <t>平成21年</t>
    <rPh sb="0" eb="2">
      <t>へいせい</t>
    </rPh>
    <rPh sb="4" eb="5">
      <t>ねん</t>
    </rPh>
    <phoneticPr fontId="1" type="Hiragana"/>
  </si>
  <si>
    <t>1984年</t>
    <rPh sb="4" eb="5">
      <t>ねん</t>
    </rPh>
    <phoneticPr fontId="1" type="Hiragana"/>
  </si>
  <si>
    <t>1985年</t>
    <rPh sb="4" eb="5">
      <t>ねん</t>
    </rPh>
    <phoneticPr fontId="1" type="Hiragana"/>
  </si>
  <si>
    <t>1986年</t>
    <rPh sb="4" eb="5">
      <t>ねん</t>
    </rPh>
    <phoneticPr fontId="1" type="Hiragana"/>
  </si>
  <si>
    <t>1987年</t>
    <rPh sb="4" eb="5">
      <t>ねん</t>
    </rPh>
    <phoneticPr fontId="1" type="Hiragana"/>
  </si>
  <si>
    <t>1989年</t>
    <rPh sb="4" eb="5">
      <t>ねん</t>
    </rPh>
    <phoneticPr fontId="1" type="Hiragana"/>
  </si>
  <si>
    <t>平成11年</t>
    <rPh sb="0" eb="2">
      <t>へいせい</t>
    </rPh>
    <rPh sb="4" eb="5">
      <t>ねん</t>
    </rPh>
    <phoneticPr fontId="1" type="Hiragana"/>
  </si>
  <si>
    <t>令和9年2月</t>
    <rPh sb="0" eb="2">
      <t>れいわ</t>
    </rPh>
    <rPh sb="3" eb="4">
      <t>ねん</t>
    </rPh>
    <rPh sb="5" eb="6">
      <t>がつ</t>
    </rPh>
    <phoneticPr fontId="1" type="Hiragana"/>
  </si>
  <si>
    <t>昭和54年</t>
    <rPh sb="0" eb="2">
      <t>しょうわ</t>
    </rPh>
    <rPh sb="4" eb="5">
      <t>ねん</t>
    </rPh>
    <phoneticPr fontId="1" type="Hiragana"/>
  </si>
  <si>
    <t>2013年</t>
    <rPh sb="4" eb="5">
      <t>ねん</t>
    </rPh>
    <phoneticPr fontId="1" type="Hiragana"/>
  </si>
  <si>
    <t>昭和55年</t>
    <rPh sb="0" eb="2">
      <t>しょうわ</t>
    </rPh>
    <rPh sb="4" eb="5">
      <t>ねん</t>
    </rPh>
    <phoneticPr fontId="1" type="Hiragana"/>
  </si>
  <si>
    <t>昭和57年</t>
    <rPh sb="0" eb="2">
      <t>しょうわ</t>
    </rPh>
    <rPh sb="4" eb="5">
      <t>ねん</t>
    </rPh>
    <phoneticPr fontId="1" type="Hiragana"/>
  </si>
  <si>
    <t>昭和58年</t>
    <rPh sb="0" eb="2">
      <t>しょうわ</t>
    </rPh>
    <rPh sb="4" eb="5">
      <t>ねん</t>
    </rPh>
    <phoneticPr fontId="1" type="Hiragana"/>
  </si>
  <si>
    <t>昭和59年</t>
    <rPh sb="0" eb="2">
      <t>しょうわ</t>
    </rPh>
    <rPh sb="4" eb="5">
      <t>ねん</t>
    </rPh>
    <phoneticPr fontId="1" type="Hiragana"/>
  </si>
  <si>
    <t>昭和61年</t>
    <rPh sb="0" eb="2">
      <t>しょうわ</t>
    </rPh>
    <rPh sb="4" eb="5">
      <t>ねん</t>
    </rPh>
    <phoneticPr fontId="1" type="Hiragana"/>
  </si>
  <si>
    <t>昭和63年</t>
    <rPh sb="0" eb="2">
      <t>しょうわ</t>
    </rPh>
    <rPh sb="4" eb="5">
      <t>ねん</t>
    </rPh>
    <phoneticPr fontId="1" type="Hiragana"/>
  </si>
  <si>
    <t>平成13年</t>
    <rPh sb="0" eb="2">
      <t>へいせい</t>
    </rPh>
    <rPh sb="4" eb="5">
      <t>ねん</t>
    </rPh>
    <phoneticPr fontId="1" type="Hiragana"/>
  </si>
  <si>
    <t>2011年</t>
    <rPh sb="4" eb="5">
      <t>ねん</t>
    </rPh>
    <phoneticPr fontId="1" type="Hiragana"/>
  </si>
  <si>
    <t>昭和64年
平成元年</t>
    <rPh sb="0" eb="2">
      <t>しょうわ</t>
    </rPh>
    <rPh sb="4" eb="5">
      <t>ねん</t>
    </rPh>
    <phoneticPr fontId="1" type="Hiragana"/>
  </si>
  <si>
    <t>1992年</t>
    <rPh sb="4" eb="5">
      <t>ねん</t>
    </rPh>
    <phoneticPr fontId="1" type="Hiragana"/>
  </si>
  <si>
    <t>1997年</t>
    <rPh sb="4" eb="5">
      <t>ねん</t>
    </rPh>
    <phoneticPr fontId="1" type="Hiragana"/>
  </si>
  <si>
    <t>平成17年</t>
    <rPh sb="0" eb="2">
      <t>へいせい</t>
    </rPh>
    <rPh sb="4" eb="5">
      <t>ねん</t>
    </rPh>
    <phoneticPr fontId="1" type="Hiragana"/>
  </si>
  <si>
    <t>1998年</t>
    <rPh sb="4" eb="5">
      <t>ねん</t>
    </rPh>
    <phoneticPr fontId="1" type="Hiragana"/>
  </si>
  <si>
    <t>2000年</t>
    <rPh sb="4" eb="5">
      <t>ねん</t>
    </rPh>
    <phoneticPr fontId="1" type="Hiragana"/>
  </si>
  <si>
    <t>2003年</t>
    <rPh sb="4" eb="5">
      <t>ねん</t>
    </rPh>
    <phoneticPr fontId="1" type="Hiragana"/>
  </si>
  <si>
    <t>2005年</t>
    <rPh sb="4" eb="5">
      <t>ねん</t>
    </rPh>
    <phoneticPr fontId="1" type="Hiragana"/>
  </si>
  <si>
    <t>平成5年</t>
    <rPh sb="0" eb="2">
      <t>へいせい</t>
    </rPh>
    <rPh sb="3" eb="4">
      <t>ねん</t>
    </rPh>
    <phoneticPr fontId="1" type="Hiragana"/>
  </si>
  <si>
    <t>平成25年</t>
    <rPh sb="0" eb="2">
      <t>へいせい</t>
    </rPh>
    <rPh sb="4" eb="5">
      <t>ねん</t>
    </rPh>
    <phoneticPr fontId="1" type="Hiragana"/>
  </si>
  <si>
    <t>平成7年</t>
    <rPh sb="0" eb="2">
      <t>へいせい</t>
    </rPh>
    <rPh sb="3" eb="4">
      <t>ねん</t>
    </rPh>
    <phoneticPr fontId="1" type="Hiragana"/>
  </si>
  <si>
    <t>平成8年</t>
    <rPh sb="0" eb="2">
      <t>へいせい</t>
    </rPh>
    <rPh sb="3" eb="4">
      <t>ねん</t>
    </rPh>
    <phoneticPr fontId="1" type="Hiragana"/>
  </si>
  <si>
    <t>平成15年</t>
    <rPh sb="0" eb="2">
      <t>へいせい</t>
    </rPh>
    <rPh sb="4" eb="5">
      <t>ねん</t>
    </rPh>
    <phoneticPr fontId="1" type="Hiragana"/>
  </si>
  <si>
    <t>2006年</t>
    <rPh sb="4" eb="5">
      <t>ねん</t>
    </rPh>
    <phoneticPr fontId="1" type="Hiragana"/>
  </si>
  <si>
    <t>2008年</t>
    <rPh sb="4" eb="5">
      <t>ねん</t>
    </rPh>
    <phoneticPr fontId="1" type="Hiragana"/>
  </si>
  <si>
    <t>2010年</t>
    <rPh sb="4" eb="5">
      <t>ねん</t>
    </rPh>
    <phoneticPr fontId="1" type="Hiragana"/>
  </si>
  <si>
    <t>2012年</t>
    <rPh sb="4" eb="5">
      <t>ねん</t>
    </rPh>
    <phoneticPr fontId="1" type="Hiragana"/>
  </si>
  <si>
    <t>平成24年</t>
    <rPh sb="0" eb="2">
      <t>へいせい</t>
    </rPh>
    <rPh sb="4" eb="5">
      <t>ねん</t>
    </rPh>
    <phoneticPr fontId="1" type="Hiragana"/>
  </si>
  <si>
    <t>2015年</t>
    <rPh sb="4" eb="5">
      <t>ねん</t>
    </rPh>
    <phoneticPr fontId="1" type="Hiragana"/>
  </si>
  <si>
    <t>2016年</t>
    <rPh sb="4" eb="5">
      <t>ねん</t>
    </rPh>
    <phoneticPr fontId="1" type="Hiragana"/>
  </si>
  <si>
    <t>平成20年</t>
    <rPh sb="0" eb="2">
      <t>へいせい</t>
    </rPh>
    <rPh sb="4" eb="5">
      <t>ねん</t>
    </rPh>
    <phoneticPr fontId="1" type="Hiragana"/>
  </si>
  <si>
    <t>平成22年</t>
    <rPh sb="0" eb="2">
      <t>へいせい</t>
    </rPh>
    <rPh sb="4" eb="5">
      <t>ねん</t>
    </rPh>
    <phoneticPr fontId="1" type="Hiragana"/>
  </si>
  <si>
    <t>平成23年</t>
    <rPh sb="0" eb="2">
      <t>へいせい</t>
    </rPh>
    <rPh sb="4" eb="5">
      <t>ねん</t>
    </rPh>
    <phoneticPr fontId="1" type="Hiragana"/>
  </si>
  <si>
    <t>平成27年</t>
    <rPh sb="0" eb="2">
      <t>へいせい</t>
    </rPh>
    <rPh sb="4" eb="5">
      <t>ねん</t>
    </rPh>
    <phoneticPr fontId="1" type="Hiragana"/>
  </si>
  <si>
    <t>令和9年1月</t>
    <rPh sb="0" eb="2">
      <t>れいわ</t>
    </rPh>
    <rPh sb="3" eb="4">
      <t>ねん</t>
    </rPh>
    <rPh sb="5" eb="6">
      <t>がつ</t>
    </rPh>
    <phoneticPr fontId="1" type="Hiragana"/>
  </si>
  <si>
    <t>平成30年</t>
    <rPh sb="0" eb="2">
      <t>へいせい</t>
    </rPh>
    <rPh sb="4" eb="5">
      <t>ねん</t>
    </rPh>
    <phoneticPr fontId="1" type="Hiragana"/>
  </si>
  <si>
    <t>2020年</t>
    <rPh sb="4" eb="5">
      <t>ねん</t>
    </rPh>
    <phoneticPr fontId="1" type="Hiragana"/>
  </si>
  <si>
    <t>均等割（支援分）</t>
    <rPh sb="0" eb="3">
      <t>きんとうわり</t>
    </rPh>
    <rPh sb="4" eb="6">
      <t>しえん</t>
    </rPh>
    <rPh sb="6" eb="7">
      <t>ぶん</t>
    </rPh>
    <phoneticPr fontId="1" type="Hiragana"/>
  </si>
  <si>
    <t>2022年</t>
    <rPh sb="4" eb="5">
      <t>ねん</t>
    </rPh>
    <phoneticPr fontId="1" type="Hiragana"/>
  </si>
  <si>
    <t>　　　　・世帯に後期高齢者医療制度に移行している方がいる場合</t>
    <rPh sb="5" eb="7">
      <t>せたい</t>
    </rPh>
    <rPh sb="8" eb="10">
      <t>こうき</t>
    </rPh>
    <rPh sb="10" eb="13">
      <t>こうれいしゃ</t>
    </rPh>
    <rPh sb="13" eb="15">
      <t>いりょう</t>
    </rPh>
    <rPh sb="15" eb="17">
      <t>せいど</t>
    </rPh>
    <rPh sb="18" eb="20">
      <t>いこう</t>
    </rPh>
    <rPh sb="24" eb="25">
      <t>かた</t>
    </rPh>
    <rPh sb="28" eb="30">
      <t>ばあい</t>
    </rPh>
    <phoneticPr fontId="1" type="Hiragana"/>
  </si>
  <si>
    <t>令和3年</t>
    <rPh sb="0" eb="2">
      <t>れいわ</t>
    </rPh>
    <rPh sb="3" eb="4">
      <t>ねん</t>
    </rPh>
    <phoneticPr fontId="1" type="Hiragana"/>
  </si>
  <si>
    <t>令和4年</t>
    <rPh sb="0" eb="2">
      <t>れいわ</t>
    </rPh>
    <rPh sb="3" eb="4">
      <t>ねん</t>
    </rPh>
    <phoneticPr fontId="1" type="Hiragana"/>
  </si>
  <si>
    <r>
      <t>⑤その他の</t>
    </r>
    <r>
      <rPr>
        <b/>
        <sz val="11"/>
        <color rgb="FFFF0000"/>
        <rFont val="ＭＳ Ｐゴシック"/>
        <family val="3"/>
        <charset val="128"/>
      </rPr>
      <t>所得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（営業所得、不動産譲渡所得など）
※マイナスの場合は0として入力してください。</t>
    </r>
    <rPh sb="3" eb="4">
      <t>た</t>
    </rPh>
    <rPh sb="5" eb="7">
      <t>しょとく</t>
    </rPh>
    <rPh sb="9" eb="11">
      <t>えいぎょう</t>
    </rPh>
    <rPh sb="11" eb="13">
      <t>しょとく</t>
    </rPh>
    <rPh sb="14" eb="17">
      <t>ふどうさん</t>
    </rPh>
    <rPh sb="17" eb="19">
      <t>じょうと</t>
    </rPh>
    <rPh sb="19" eb="21">
      <t>しょとく</t>
    </rPh>
    <rPh sb="31" eb="33">
      <t>ばあい</t>
    </rPh>
    <rPh sb="38" eb="40">
      <t>にゅうりょく</t>
    </rPh>
    <phoneticPr fontId="1" type="Hiragana"/>
  </si>
  <si>
    <t>項目に入力する数字の確認方法</t>
    <rPh sb="0" eb="2">
      <t>こうもく</t>
    </rPh>
    <rPh sb="3" eb="5">
      <t>にゅうりょく</t>
    </rPh>
    <rPh sb="7" eb="9">
      <t>すうじ</t>
    </rPh>
    <rPh sb="10" eb="12">
      <t>かくにん</t>
    </rPh>
    <rPh sb="12" eb="14">
      <t>ほうほう</t>
    </rPh>
    <phoneticPr fontId="1" type="Hiragana"/>
  </si>
  <si>
    <t>令和8年10月</t>
    <rPh sb="0" eb="2">
      <t>れいわ</t>
    </rPh>
    <rPh sb="3" eb="4">
      <t>ねん</t>
    </rPh>
    <rPh sb="6" eb="7">
      <t>がつ</t>
    </rPh>
    <phoneticPr fontId="1" type="Hiragana"/>
  </si>
  <si>
    <r>
      <t>④年金収入　</t>
    </r>
    <r>
      <rPr>
        <sz val="11"/>
        <color theme="1"/>
        <rFont val="ＭＳ Ｐゴシック"/>
        <family val="3"/>
        <charset val="128"/>
      </rPr>
      <t xml:space="preserve">
　●公的年金等の源泉徴収票の場合、赤枠の「支払金額」に
　に記載されている金額を入力してください。</t>
    </r>
    <rPh sb="1" eb="3">
      <t>ねんきん</t>
    </rPh>
    <rPh sb="3" eb="5">
      <t>しゅうにゅう</t>
    </rPh>
    <rPh sb="9" eb="11">
      <t>こうてき</t>
    </rPh>
    <rPh sb="11" eb="13">
      <t>ねんきん</t>
    </rPh>
    <rPh sb="13" eb="14">
      <t>とう</t>
    </rPh>
    <rPh sb="15" eb="17">
      <t>げんせん</t>
    </rPh>
    <rPh sb="17" eb="20">
      <t>ちょうしゅうひょう</t>
    </rPh>
    <rPh sb="21" eb="23">
      <t>ばあい</t>
    </rPh>
    <rPh sb="24" eb="25">
      <t>あか</t>
    </rPh>
    <rPh sb="25" eb="26">
      <t>わく</t>
    </rPh>
    <rPh sb="28" eb="30">
      <t>しはらい</t>
    </rPh>
    <rPh sb="30" eb="32">
      <t>きんがく</t>
    </rPh>
    <rPh sb="37" eb="39">
      <t>きさい</t>
    </rPh>
    <rPh sb="44" eb="46">
      <t>きんがく</t>
    </rPh>
    <rPh sb="47" eb="49">
      <t>にゅうりょく</t>
    </rPh>
    <phoneticPr fontId="1" type="Hiragana"/>
  </si>
  <si>
    <t>・ 令和８年度国民健康保険税の年間概算額が計算できます。</t>
    <rPh sb="2" eb="4">
      <t>れいわ</t>
    </rPh>
    <rPh sb="5" eb="7">
      <t>ねんど</t>
    </rPh>
    <rPh sb="7" eb="9">
      <t>こくみん</t>
    </rPh>
    <rPh sb="9" eb="11">
      <t>けんこう</t>
    </rPh>
    <rPh sb="11" eb="14">
      <t>ほけんぜい</t>
    </rPh>
    <rPh sb="15" eb="17">
      <t>ねんかん</t>
    </rPh>
    <rPh sb="17" eb="19">
      <t>がいさん</t>
    </rPh>
    <rPh sb="19" eb="20">
      <t>がく</t>
    </rPh>
    <rPh sb="21" eb="23">
      <t>けいさん</t>
    </rPh>
    <phoneticPr fontId="1" type="Hiragana"/>
  </si>
  <si>
    <t>　●確定申告書Aの場合、収入金額等欄の赤枠の「公的年金等」
　に記載されている金額を入力してください。</t>
    <rPh sb="2" eb="4">
      <t>かくてい</t>
    </rPh>
    <rPh sb="4" eb="6">
      <t>しんこく</t>
    </rPh>
    <rPh sb="6" eb="7">
      <t>しょ</t>
    </rPh>
    <rPh sb="9" eb="11">
      <t>ばあい</t>
    </rPh>
    <rPh sb="12" eb="14">
      <t>しゅうにゅう</t>
    </rPh>
    <rPh sb="14" eb="16">
      <t>きんがく</t>
    </rPh>
    <rPh sb="16" eb="17">
      <t>とう</t>
    </rPh>
    <rPh sb="17" eb="18">
      <t>らん</t>
    </rPh>
    <rPh sb="19" eb="20">
      <t>あか</t>
    </rPh>
    <rPh sb="20" eb="21">
      <t>わく</t>
    </rPh>
    <rPh sb="23" eb="25">
      <t>こうてき</t>
    </rPh>
    <rPh sb="25" eb="27">
      <t>ねんきん</t>
    </rPh>
    <rPh sb="27" eb="28">
      <t>とう</t>
    </rPh>
    <rPh sb="32" eb="34">
      <t>きさい</t>
    </rPh>
    <rPh sb="39" eb="41">
      <t>きんがく</t>
    </rPh>
    <rPh sb="42" eb="44">
      <t>にゅうりょく</t>
    </rPh>
    <phoneticPr fontId="1" type="Hiragana"/>
  </si>
  <si>
    <t>均等割（介護分）</t>
    <rPh sb="0" eb="3">
      <t>きんとうわり</t>
    </rPh>
    <rPh sb="4" eb="6">
      <t>かいご</t>
    </rPh>
    <rPh sb="6" eb="7">
      <t>ぶん</t>
    </rPh>
    <phoneticPr fontId="1" type="Hiragana"/>
  </si>
  <si>
    <r>
      <t>⑤その他の所得</t>
    </r>
    <r>
      <rPr>
        <sz val="11"/>
        <color theme="1"/>
        <rFont val="ＭＳ Ｐゴシック"/>
        <family val="3"/>
        <charset val="128"/>
      </rPr>
      <t xml:space="preserve">
　●確定申告書Bの場合、赤枠の「所得金額」の合計額を入力してください。
　※給与所得、年金所得は除きます。
　※退職所得は含めない（雑所得の場合を除く）</t>
    </r>
    <rPh sb="3" eb="4">
      <t>た</t>
    </rPh>
    <rPh sb="5" eb="7">
      <t>しょとく</t>
    </rPh>
    <rPh sb="10" eb="12">
      <t>かくてい</t>
    </rPh>
    <rPh sb="12" eb="14">
      <t>しんこく</t>
    </rPh>
    <rPh sb="14" eb="15">
      <t>しょ</t>
    </rPh>
    <rPh sb="17" eb="19">
      <t>ばあい</t>
    </rPh>
    <rPh sb="20" eb="21">
      <t>あか</t>
    </rPh>
    <rPh sb="21" eb="22">
      <t>わく</t>
    </rPh>
    <rPh sb="24" eb="26">
      <t>しょとく</t>
    </rPh>
    <rPh sb="26" eb="28">
      <t>きんがく</t>
    </rPh>
    <rPh sb="30" eb="33">
      <t>ごうけいがく</t>
    </rPh>
    <rPh sb="34" eb="36">
      <t>にゅうりょく</t>
    </rPh>
    <rPh sb="46" eb="48">
      <t>きゅうよ</t>
    </rPh>
    <rPh sb="48" eb="50">
      <t>しょとく</t>
    </rPh>
    <rPh sb="51" eb="53">
      <t>ねんきん</t>
    </rPh>
    <rPh sb="53" eb="55">
      <t>しょとく</t>
    </rPh>
    <rPh sb="56" eb="57">
      <t>のぞ</t>
    </rPh>
    <rPh sb="64" eb="66">
      <t>たいしょく</t>
    </rPh>
    <rPh sb="66" eb="68">
      <t>しょとく</t>
    </rPh>
    <rPh sb="69" eb="70">
      <t>ふく</t>
    </rPh>
    <rPh sb="74" eb="77">
      <t>ざつしょとく</t>
    </rPh>
    <rPh sb="78" eb="80">
      <t>ばあい</t>
    </rPh>
    <rPh sb="81" eb="82">
      <t>のぞ</t>
    </rPh>
    <phoneticPr fontId="1" type="Hiragana"/>
  </si>
  <si>
    <t>令和8年9月</t>
    <rPh sb="0" eb="2">
      <t>れいわ</t>
    </rPh>
    <rPh sb="3" eb="4">
      <t>ねん</t>
    </rPh>
    <rPh sb="5" eb="6">
      <t>がつ</t>
    </rPh>
    <phoneticPr fontId="1" type="Hiragana"/>
  </si>
  <si>
    <t>　　確定申告書で入力する場合は、給与収入金額欄・年金収入金額欄・退職所得欄は入力しないでください。</t>
    <rPh sb="2" eb="4">
      <t>かくてい</t>
    </rPh>
    <rPh sb="4" eb="7">
      <t>しんこくしょ</t>
    </rPh>
    <rPh sb="8" eb="10">
      <t>にゅうりょく</t>
    </rPh>
    <rPh sb="12" eb="14">
      <t>ばあい</t>
    </rPh>
    <rPh sb="16" eb="18">
      <t>きゅうよ</t>
    </rPh>
    <rPh sb="18" eb="20">
      <t>しゅうにゅう</t>
    </rPh>
    <rPh sb="20" eb="23">
      <t>きんがくらん</t>
    </rPh>
    <rPh sb="24" eb="26">
      <t>ねんきん</t>
    </rPh>
    <rPh sb="26" eb="28">
      <t>しゅうにゅう</t>
    </rPh>
    <rPh sb="28" eb="31">
      <t>きんがくらん</t>
    </rPh>
    <rPh sb="32" eb="34">
      <t>たいしょく</t>
    </rPh>
    <rPh sb="34" eb="36">
      <t>しょとく</t>
    </rPh>
    <rPh sb="36" eb="37">
      <t>らん</t>
    </rPh>
    <rPh sb="38" eb="40">
      <t>にゅうりょく</t>
    </rPh>
    <phoneticPr fontId="1" type="Hiragana"/>
  </si>
  <si>
    <t>給与所得と公的年金等の雑所得の合計額が10万円を超える場合</t>
    <rPh sb="0" eb="2">
      <t>きゅうよ</t>
    </rPh>
    <rPh sb="2" eb="4">
      <t>しょとく</t>
    </rPh>
    <rPh sb="5" eb="7">
      <t>こうてき</t>
    </rPh>
    <rPh sb="7" eb="9">
      <t>ねんきん</t>
    </rPh>
    <rPh sb="9" eb="10">
      <t>とう</t>
    </rPh>
    <rPh sb="11" eb="14">
      <t>ざつしょとく</t>
    </rPh>
    <rPh sb="15" eb="17">
      <t>ごうけい</t>
    </rPh>
    <rPh sb="17" eb="18">
      <t>がく</t>
    </rPh>
    <rPh sb="21" eb="23">
      <t>まんえん</t>
    </rPh>
    <rPh sb="24" eb="25">
      <t>こ</t>
    </rPh>
    <rPh sb="27" eb="29">
      <t>ばあい</t>
    </rPh>
    <phoneticPr fontId="1" type="Hiragana"/>
  </si>
  <si>
    <t>給与所得控除後の給与等の金額</t>
    <rPh sb="0" eb="2">
      <t>きゅうよ</t>
    </rPh>
    <rPh sb="2" eb="4">
      <t>しょとく</t>
    </rPh>
    <rPh sb="4" eb="6">
      <t>こうじょ</t>
    </rPh>
    <rPh sb="6" eb="7">
      <t>ご</t>
    </rPh>
    <rPh sb="8" eb="10">
      <t>きゅうよ</t>
    </rPh>
    <rPh sb="10" eb="11">
      <t>とう</t>
    </rPh>
    <rPh sb="12" eb="14">
      <t>きんがく</t>
    </rPh>
    <phoneticPr fontId="1" type="Hiragana"/>
  </si>
  <si>
    <t>1　世帯主の欄は、加入の有無にかかわらず入力し、加入の場合は「○」、加入しない場合は「×」を選択してください。</t>
    <rPh sb="2" eb="5">
      <t>せたいぬし</t>
    </rPh>
    <rPh sb="6" eb="7">
      <t>らん</t>
    </rPh>
    <rPh sb="9" eb="11">
      <t>かにゅう</t>
    </rPh>
    <rPh sb="12" eb="14">
      <t>うむ</t>
    </rPh>
    <rPh sb="20" eb="22">
      <t>にゅうりょく</t>
    </rPh>
    <rPh sb="24" eb="26">
      <t>かにゅう</t>
    </rPh>
    <rPh sb="27" eb="29">
      <t>ばあい</t>
    </rPh>
    <rPh sb="34" eb="36">
      <t>かにゅう</t>
    </rPh>
    <rPh sb="39" eb="41">
      <t>ばあい</t>
    </rPh>
    <rPh sb="46" eb="48">
      <t>せんたく</t>
    </rPh>
    <phoneticPr fontId="1" type="Hiragana"/>
  </si>
  <si>
    <t>公的年金等の雑所得の金額</t>
    <rPh sb="0" eb="2">
      <t>こうてき</t>
    </rPh>
    <rPh sb="2" eb="4">
      <t>ねんきん</t>
    </rPh>
    <rPh sb="4" eb="5">
      <t>とう</t>
    </rPh>
    <rPh sb="6" eb="9">
      <t>ざつしょとく</t>
    </rPh>
    <rPh sb="10" eb="12">
      <t>きんがく</t>
    </rPh>
    <phoneticPr fontId="1" type="Hiragana"/>
  </si>
  <si>
    <t>調整控除</t>
    <rPh sb="0" eb="2">
      <t>ちょうせい</t>
    </rPh>
    <rPh sb="2" eb="4">
      <t>こうじょ</t>
    </rPh>
    <phoneticPr fontId="1" type="Hiragana"/>
  </si>
  <si>
    <t>2月</t>
    <rPh sb="1" eb="2">
      <t>がつ</t>
    </rPh>
    <phoneticPr fontId="1" type="Hiragana"/>
  </si>
  <si>
    <t>3月</t>
    <rPh sb="1" eb="2">
      <t>がつ</t>
    </rPh>
    <phoneticPr fontId="1" type="Hiragana"/>
  </si>
  <si>
    <t>4月</t>
    <rPh sb="1" eb="2">
      <t>がつ</t>
    </rPh>
    <phoneticPr fontId="1" type="Hiragana"/>
  </si>
  <si>
    <t>6月</t>
    <rPh sb="1" eb="2">
      <t>がつ</t>
    </rPh>
    <phoneticPr fontId="1" type="Hiragana"/>
  </si>
  <si>
    <t>令和8年12月</t>
    <rPh sb="0" eb="2">
      <t>れいわ</t>
    </rPh>
    <rPh sb="3" eb="4">
      <t>ねん</t>
    </rPh>
    <rPh sb="6" eb="7">
      <t>がつ</t>
    </rPh>
    <phoneticPr fontId="1" type="Hiragana"/>
  </si>
  <si>
    <t>9月</t>
    <rPh sb="1" eb="2">
      <t>がつ</t>
    </rPh>
    <phoneticPr fontId="1" type="Hiragana"/>
  </si>
  <si>
    <t>11月</t>
    <rPh sb="2" eb="3">
      <t>がつ</t>
    </rPh>
    <phoneticPr fontId="1" type="Hiragana"/>
  </si>
  <si>
    <t>12月</t>
    <rPh sb="2" eb="3">
      <t>がつ</t>
    </rPh>
    <phoneticPr fontId="1" type="Hiragana"/>
  </si>
  <si>
    <t>は毎年度更新</t>
    <rPh sb="1" eb="4">
      <t>まいねんど</t>
    </rPh>
    <rPh sb="4" eb="6">
      <t>こうしん</t>
    </rPh>
    <phoneticPr fontId="1" type="Hiragana"/>
  </si>
  <si>
    <t>介護年齢（誕生日の前日）</t>
    <rPh sb="0" eb="2">
      <t>かいご</t>
    </rPh>
    <rPh sb="2" eb="4">
      <t>ねんれい</t>
    </rPh>
    <rPh sb="5" eb="8">
      <t>たんじょうび</t>
    </rPh>
    <rPh sb="9" eb="11">
      <t>ぜんじつ</t>
    </rPh>
    <phoneticPr fontId="1" type="Hiragana"/>
  </si>
  <si>
    <t>合計</t>
    <rPh sb="0" eb="2">
      <t>ごうけい</t>
    </rPh>
    <phoneticPr fontId="1" type="Hiragana"/>
  </si>
  <si>
    <t>均等割（医療分）</t>
    <rPh sb="0" eb="3">
      <t>きんとうわり</t>
    </rPh>
    <rPh sb="4" eb="6">
      <t>いりょう</t>
    </rPh>
    <rPh sb="6" eb="7">
      <t>ぶん</t>
    </rPh>
    <phoneticPr fontId="1" type="Hiragana"/>
  </si>
  <si>
    <t>総計</t>
    <rPh sb="0" eb="2">
      <t>そうけい</t>
    </rPh>
    <phoneticPr fontId="1" type="Hiragana"/>
  </si>
  <si>
    <t>小計</t>
    <rPh sb="0" eb="2">
      <t>しょうけい</t>
    </rPh>
    <phoneticPr fontId="1" type="Hiragana"/>
  </si>
  <si>
    <t>税額</t>
    <rPh sb="0" eb="2">
      <t>ぜいがく</t>
    </rPh>
    <phoneticPr fontId="1" type="Hiragana"/>
  </si>
  <si>
    <t>　　　  ・年度途中での加入者の増減がある場合</t>
    <rPh sb="6" eb="8">
      <t>ねんど</t>
    </rPh>
    <rPh sb="8" eb="10">
      <t>とちゅう</t>
    </rPh>
    <rPh sb="12" eb="14">
      <t>かにゅう</t>
    </rPh>
    <rPh sb="14" eb="15">
      <t>しゃ</t>
    </rPh>
    <rPh sb="16" eb="18">
      <t>ぞうげん</t>
    </rPh>
    <rPh sb="21" eb="23">
      <t>ばあい</t>
    </rPh>
    <phoneticPr fontId="1" type="Hiragana"/>
  </si>
  <si>
    <t>終期</t>
    <rPh sb="0" eb="2">
      <t>しゅうき</t>
    </rPh>
    <phoneticPr fontId="1" type="Hiragana"/>
  </si>
  <si>
    <t>第2期</t>
    <rPh sb="0" eb="1">
      <t>だい</t>
    </rPh>
    <rPh sb="2" eb="3">
      <t>き</t>
    </rPh>
    <phoneticPr fontId="1" type="Hiragana"/>
  </si>
  <si>
    <t>第4期</t>
    <rPh sb="0" eb="1">
      <t>だい</t>
    </rPh>
    <rPh sb="2" eb="3">
      <t>き</t>
    </rPh>
    <phoneticPr fontId="1" type="Hiragana"/>
  </si>
  <si>
    <t>第5期</t>
    <rPh sb="0" eb="1">
      <t>だい</t>
    </rPh>
    <rPh sb="2" eb="3">
      <t>き</t>
    </rPh>
    <phoneticPr fontId="1" type="Hiragana"/>
  </si>
  <si>
    <t>第7期</t>
    <rPh sb="0" eb="1">
      <t>だい</t>
    </rPh>
    <rPh sb="2" eb="3">
      <t>き</t>
    </rPh>
    <phoneticPr fontId="1" type="Hiragana"/>
  </si>
  <si>
    <t>第8期</t>
    <rPh sb="0" eb="1">
      <t>だい</t>
    </rPh>
    <rPh sb="2" eb="3">
      <t>き</t>
    </rPh>
    <phoneticPr fontId="1" type="Hiragana"/>
  </si>
  <si>
    <t>第9期</t>
    <rPh sb="0" eb="1">
      <t>だい</t>
    </rPh>
    <rPh sb="2" eb="3">
      <t>き</t>
    </rPh>
    <phoneticPr fontId="1" type="Hiragana"/>
  </si>
  <si>
    <t>第10期</t>
    <rPh sb="0" eb="1">
      <t>だい</t>
    </rPh>
    <rPh sb="3" eb="4">
      <t>き</t>
    </rPh>
    <phoneticPr fontId="1" type="Hiragana"/>
  </si>
  <si>
    <t>始期</t>
    <rPh sb="0" eb="1">
      <t>はじ</t>
    </rPh>
    <rPh sb="1" eb="2">
      <t>き</t>
    </rPh>
    <phoneticPr fontId="1" type="Hiragana"/>
  </si>
  <si>
    <t>子ども分</t>
    <rPh sb="0" eb="1">
      <t>こ</t>
    </rPh>
    <rPh sb="3" eb="4">
      <t>ぶん</t>
    </rPh>
    <phoneticPr fontId="1" type="Hiragana"/>
  </si>
  <si>
    <t>加入期間に応じた保険税額</t>
    <rPh sb="0" eb="2">
      <t>かにゅう</t>
    </rPh>
    <rPh sb="2" eb="4">
      <t>きかん</t>
    </rPh>
    <rPh sb="5" eb="6">
      <t>おう</t>
    </rPh>
    <rPh sb="8" eb="10">
      <t>ほけん</t>
    </rPh>
    <rPh sb="10" eb="11">
      <t>ぜい</t>
    </rPh>
    <rPh sb="11" eb="12">
      <t>がく</t>
    </rPh>
    <phoneticPr fontId="1" type="Hiragana"/>
  </si>
  <si>
    <t>普通徴収の場合（年間）</t>
    <rPh sb="0" eb="2">
      <t>ふつう</t>
    </rPh>
    <rPh sb="2" eb="4">
      <t>ちょうしゅう</t>
    </rPh>
    <rPh sb="5" eb="7">
      <t>ばあい</t>
    </rPh>
    <rPh sb="8" eb="10">
      <t>ねんかん</t>
    </rPh>
    <phoneticPr fontId="1" type="Hiragana"/>
  </si>
  <si>
    <t>加入期間に応じた保険税額</t>
  </si>
  <si>
    <t>所得割（支援分）</t>
    <rPh sb="0" eb="3">
      <t>しょとくわり</t>
    </rPh>
    <rPh sb="4" eb="6">
      <t>しえん</t>
    </rPh>
    <rPh sb="6" eb="7">
      <t>ぶん</t>
    </rPh>
    <phoneticPr fontId="1" type="Hiragana"/>
  </si>
  <si>
    <t>平等割（支援分）</t>
    <rPh sb="0" eb="2">
      <t>びょうどう</t>
    </rPh>
    <rPh sb="2" eb="3">
      <t>わり</t>
    </rPh>
    <rPh sb="4" eb="6">
      <t>しえん</t>
    </rPh>
    <rPh sb="6" eb="7">
      <t>ぶん</t>
    </rPh>
    <phoneticPr fontId="1" type="Hiragana"/>
  </si>
  <si>
    <t>医療・支援年齢</t>
    <rPh sb="0" eb="2">
      <t>いりょう</t>
    </rPh>
    <rPh sb="3" eb="5">
      <t>しえん</t>
    </rPh>
    <rPh sb="5" eb="7">
      <t>ねんれい</t>
    </rPh>
    <phoneticPr fontId="1" type="Hiragana"/>
  </si>
  <si>
    <t>年齢
(1/1時点）</t>
    <rPh sb="0" eb="2">
      <t>ねんれい</t>
    </rPh>
    <rPh sb="7" eb="9">
      <t>じてん</t>
    </rPh>
    <phoneticPr fontId="1" type="Hiragana"/>
  </si>
  <si>
    <t>2025年</t>
    <rPh sb="4" eb="5">
      <t>ねん</t>
    </rPh>
    <phoneticPr fontId="1" type="Hiragana"/>
  </si>
  <si>
    <t>2023年</t>
    <rPh sb="4" eb="5">
      <t>ねん</t>
    </rPh>
    <phoneticPr fontId="1" type="Hiragana"/>
  </si>
  <si>
    <t>2024年</t>
    <rPh sb="4" eb="5">
      <t>ねん</t>
    </rPh>
    <phoneticPr fontId="1" type="Hiragana"/>
  </si>
  <si>
    <t>令和5年</t>
    <rPh sb="0" eb="2">
      <t>れいわ</t>
    </rPh>
    <rPh sb="3" eb="4">
      <t>ねん</t>
    </rPh>
    <phoneticPr fontId="1" type="Hiragana"/>
  </si>
  <si>
    <t>令和8年4月</t>
    <rPh sb="0" eb="2">
      <t>れいわ</t>
    </rPh>
    <rPh sb="3" eb="4">
      <t>ねん</t>
    </rPh>
    <rPh sb="5" eb="6">
      <t>がつ</t>
    </rPh>
    <phoneticPr fontId="1" type="Hiragana"/>
  </si>
  <si>
    <t>令和8年7月</t>
    <rPh sb="0" eb="2">
      <t>れいわ</t>
    </rPh>
    <rPh sb="3" eb="4">
      <t>ねん</t>
    </rPh>
    <rPh sb="5" eb="6">
      <t>がつ</t>
    </rPh>
    <phoneticPr fontId="1" type="Hiragana"/>
  </si>
  <si>
    <t>令和8年8月</t>
    <rPh sb="0" eb="2">
      <t>れいわ</t>
    </rPh>
    <rPh sb="3" eb="4">
      <t>ねん</t>
    </rPh>
    <rPh sb="5" eb="6">
      <t>がつ</t>
    </rPh>
    <phoneticPr fontId="1" type="Hiragana"/>
  </si>
  <si>
    <t>令和9年3月</t>
    <rPh sb="0" eb="2">
      <t>れいわ</t>
    </rPh>
    <rPh sb="3" eb="4">
      <t>ねん</t>
    </rPh>
    <rPh sb="5" eb="6">
      <t>がつ</t>
    </rPh>
    <phoneticPr fontId="1" type="Hiragana"/>
  </si>
  <si>
    <t>令和9年3月31日現在で7歳未満</t>
    <rPh sb="0" eb="2">
      <t>れいわ</t>
    </rPh>
    <rPh sb="3" eb="4">
      <t>ねん</t>
    </rPh>
    <rPh sb="5" eb="6">
      <t>がつ</t>
    </rPh>
    <rPh sb="8" eb="9">
      <t>にち</t>
    </rPh>
    <rPh sb="9" eb="11">
      <t>げんざい</t>
    </rPh>
    <rPh sb="13" eb="14">
      <t>さい</t>
    </rPh>
    <rPh sb="14" eb="16">
      <t>みまん</t>
    </rPh>
    <phoneticPr fontId="1" type="Hiragana"/>
  </si>
  <si>
    <t>所得割（子ども分）</t>
    <rPh sb="0" eb="3">
      <t>しょとくわり</t>
    </rPh>
    <rPh sb="4" eb="5">
      <t>こ</t>
    </rPh>
    <rPh sb="7" eb="8">
      <t>ぶん</t>
    </rPh>
    <phoneticPr fontId="1" type="Hiragana"/>
  </si>
  <si>
    <t>均等割（子ども分）</t>
    <rPh sb="0" eb="3">
      <t>きんとうわり</t>
    </rPh>
    <rPh sb="4" eb="5">
      <t>こ</t>
    </rPh>
    <rPh sb="7" eb="8">
      <t>ぶん</t>
    </rPh>
    <phoneticPr fontId="1" type="Hiragana"/>
  </si>
  <si>
    <t>こども・子育て支援金分</t>
    <rPh sb="4" eb="6">
      <t>こそだ</t>
    </rPh>
    <rPh sb="7" eb="10">
      <t>しえんきん</t>
    </rPh>
    <rPh sb="10" eb="11">
      <t>ぶん</t>
    </rPh>
    <phoneticPr fontId="1" type="Hiragana"/>
  </si>
  <si>
    <t>給与収入55万超フラグ</t>
    <rPh sb="0" eb="2">
      <t>きゅうよ</t>
    </rPh>
    <rPh sb="2" eb="4">
      <t>しゅうにゅう</t>
    </rPh>
    <rPh sb="6" eb="7">
      <t>よろず</t>
    </rPh>
    <rPh sb="7" eb="8">
      <t>ちょう</t>
    </rPh>
    <phoneticPr fontId="1" type="Hiragana"/>
  </si>
  <si>
    <t>2026/5/1　ver1.0</t>
  </si>
  <si>
    <t>子どもの資格の有無（均等割のみ）</t>
    <rPh sb="0" eb="1">
      <t>こ</t>
    </rPh>
    <rPh sb="4" eb="6">
      <t>しかく</t>
    </rPh>
    <rPh sb="7" eb="9">
      <t>うむ</t>
    </rPh>
    <rPh sb="10" eb="12">
      <t>きんとう</t>
    </rPh>
    <rPh sb="12" eb="13">
      <t>わり</t>
    </rPh>
    <phoneticPr fontId="1" type="Hiragana"/>
  </si>
  <si>
    <t>国保の資格の有無（75歳到達判定）</t>
    <rPh sb="0" eb="2">
      <t>こくほ</t>
    </rPh>
    <rPh sb="3" eb="5">
      <t>しかく</t>
    </rPh>
    <rPh sb="6" eb="8">
      <t>うむ</t>
    </rPh>
    <rPh sb="11" eb="12">
      <t>さい</t>
    </rPh>
    <rPh sb="12" eb="14">
      <t>とうたつ</t>
    </rPh>
    <rPh sb="14" eb="16">
      <t>はんてい</t>
    </rPh>
    <phoneticPr fontId="1" type="Hiragana"/>
  </si>
  <si>
    <t>世帯員5</t>
    <rPh sb="0" eb="2">
      <t>せたい</t>
    </rPh>
    <rPh sb="2" eb="3">
      <t>いん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</si>
</sst>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b/>
      <sz val="16"/>
      <color theme="0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26"/>
      <color theme="1"/>
      <name val="ＭＳ Ｐゴシック"/>
      <family val="3"/>
      <scheme val="minor"/>
    </font>
    <font>
      <sz val="14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theme="1"/>
      <name val="ＤＦ特太ゴシック体"/>
      <family val="3"/>
    </font>
    <font>
      <sz val="11"/>
      <color theme="1"/>
      <name val="ＤＦ特太ゴシック体"/>
      <family val="3"/>
    </font>
    <font>
      <sz val="11"/>
      <color theme="1"/>
      <name val="ＭＳ Ｐゴシック"/>
      <family val="3"/>
      <scheme val="minor"/>
    </font>
    <font>
      <sz val="22"/>
      <color theme="1"/>
      <name val="ＤＦ特太ゴシック体"/>
      <family val="3"/>
    </font>
    <font>
      <b/>
      <sz val="14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8.5"/>
      <color theme="1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11"/>
      <color theme="3"/>
      <name val="ＭＳ Ｐゴシック"/>
      <family val="3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11"/>
      <color rgb="FF0027C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70C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2" xfId="0" applyBorder="1">
      <alignment vertical="center"/>
    </xf>
    <xf numFmtId="0" fontId="2" fillId="3" borderId="2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0" fillId="0" borderId="3" xfId="0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2" fillId="3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10" xfId="0" applyBorder="1">
      <alignment vertical="center"/>
    </xf>
    <xf numFmtId="0" fontId="3" fillId="3" borderId="0" xfId="0" applyFont="1" applyFill="1" applyBorder="1">
      <alignment vertical="center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5" fillId="4" borderId="12" xfId="0" applyFont="1" applyFill="1" applyBorder="1" applyProtection="1">
      <alignment vertical="center"/>
      <protection locked="0"/>
    </xf>
    <xf numFmtId="0" fontId="5" fillId="4" borderId="8" xfId="0" applyFont="1" applyFill="1" applyBorder="1" applyProtection="1">
      <alignment vertical="center"/>
      <protection locked="0"/>
    </xf>
    <xf numFmtId="38" fontId="0" fillId="0" borderId="0" xfId="0" applyNumberFormat="1" applyFont="1" applyBorder="1" applyAlignment="1" applyProtection="1">
      <alignment horizontal="right" vertical="center"/>
    </xf>
    <xf numFmtId="38" fontId="0" fillId="0" borderId="0" xfId="0" applyNumberFormat="1" applyFont="1" applyAlignment="1" applyProtection="1">
      <alignment horizontal="right" vertical="center"/>
    </xf>
    <xf numFmtId="0" fontId="8" fillId="0" borderId="0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horizontal="right" vertical="center"/>
    </xf>
    <xf numFmtId="0" fontId="8" fillId="0" borderId="0" xfId="0" applyFont="1" applyBorder="1" applyAlignment="1">
      <alignment vertical="center"/>
    </xf>
    <xf numFmtId="0" fontId="0" fillId="0" borderId="22" xfId="0" applyFont="1" applyBorder="1" applyAlignment="1" applyProtection="1">
      <alignment horizontal="center" vertical="center"/>
    </xf>
    <xf numFmtId="38" fontId="11" fillId="0" borderId="0" xfId="0" applyNumberFormat="1" applyFont="1" applyBorder="1" applyAlignment="1">
      <alignment vertical="center"/>
    </xf>
    <xf numFmtId="38" fontId="13" fillId="0" borderId="12" xfId="1" applyFont="1" applyFill="1" applyBorder="1" applyAlignment="1" applyProtection="1">
      <alignment horizontal="center" vertical="center"/>
    </xf>
    <xf numFmtId="38" fontId="13" fillId="0" borderId="8" xfId="1" applyFont="1" applyFill="1" applyBorder="1" applyAlignment="1" applyProtection="1">
      <alignment horizontal="center" vertical="center"/>
    </xf>
    <xf numFmtId="38" fontId="13" fillId="0" borderId="5" xfId="1" applyFont="1" applyFill="1" applyBorder="1" applyAlignment="1" applyProtection="1">
      <alignment horizontal="center" vertical="center"/>
    </xf>
    <xf numFmtId="38" fontId="0" fillId="0" borderId="22" xfId="0" applyNumberFormat="1" applyFont="1" applyBorder="1" applyAlignment="1" applyProtection="1">
      <alignment vertical="center"/>
    </xf>
    <xf numFmtId="0" fontId="9" fillId="0" borderId="0" xfId="0" applyFont="1" applyBorder="1" applyAlignment="1">
      <alignment horizontal="center" vertical="center"/>
    </xf>
    <xf numFmtId="38" fontId="0" fillId="0" borderId="13" xfId="0" applyNumberFormat="1" applyFont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 wrapText="1"/>
    </xf>
    <xf numFmtId="38" fontId="13" fillId="0" borderId="30" xfId="1" applyFont="1" applyFill="1" applyBorder="1" applyAlignment="1" applyProtection="1">
      <alignment horizontal="center" vertical="center"/>
    </xf>
    <xf numFmtId="38" fontId="13" fillId="0" borderId="13" xfId="1" applyFont="1" applyFill="1" applyBorder="1" applyAlignment="1" applyProtection="1">
      <alignment horizontal="center" vertical="center"/>
    </xf>
    <xf numFmtId="38" fontId="13" fillId="0" borderId="0" xfId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0" fillId="2" borderId="31" xfId="0" applyFill="1" applyBorder="1">
      <alignment vertical="center"/>
    </xf>
    <xf numFmtId="0" fontId="0" fillId="0" borderId="32" xfId="0" applyBorder="1">
      <alignment vertical="center"/>
    </xf>
    <xf numFmtId="0" fontId="2" fillId="3" borderId="32" xfId="0" applyFont="1" applyFill="1" applyBorder="1">
      <alignment vertical="center"/>
    </xf>
    <xf numFmtId="0" fontId="2" fillId="0" borderId="32" xfId="0" applyFont="1" applyFill="1" applyBorder="1">
      <alignment vertical="center"/>
    </xf>
    <xf numFmtId="0" fontId="3" fillId="3" borderId="32" xfId="0" applyFont="1" applyFill="1" applyBorder="1">
      <alignment vertical="center"/>
    </xf>
    <xf numFmtId="0" fontId="0" fillId="0" borderId="32" xfId="0" applyBorder="1" applyProtection="1">
      <alignment vertical="center"/>
    </xf>
    <xf numFmtId="0" fontId="3" fillId="0" borderId="32" xfId="0" applyFont="1" applyBorder="1" applyProtection="1">
      <alignment vertical="center"/>
    </xf>
    <xf numFmtId="0" fontId="0" fillId="0" borderId="33" xfId="0" applyBorder="1">
      <alignment vertical="center"/>
    </xf>
    <xf numFmtId="0" fontId="15" fillId="0" borderId="0" xfId="0" applyFont="1" applyProtection="1">
      <alignment vertical="center"/>
    </xf>
    <xf numFmtId="0" fontId="16" fillId="0" borderId="0" xfId="0" applyFont="1">
      <alignment vertical="center"/>
    </xf>
    <xf numFmtId="0" fontId="0" fillId="0" borderId="2" xfId="0" applyFont="1" applyBorder="1" applyAlignment="1">
      <alignment vertical="top" wrapText="1"/>
    </xf>
    <xf numFmtId="0" fontId="16" fillId="0" borderId="0" xfId="0" applyFont="1" applyProtection="1">
      <alignment vertical="center"/>
    </xf>
    <xf numFmtId="0" fontId="17" fillId="0" borderId="34" xfId="0" applyFont="1" applyBorder="1" applyAlignment="1" applyProtection="1">
      <alignment horizontal="center" vertical="center"/>
    </xf>
    <xf numFmtId="0" fontId="17" fillId="0" borderId="35" xfId="0" applyFont="1" applyBorder="1" applyAlignment="1" applyProtection="1">
      <alignment horizontal="center" vertical="center"/>
    </xf>
    <xf numFmtId="0" fontId="0" fillId="0" borderId="0" xfId="0" applyAlignment="1"/>
    <xf numFmtId="0" fontId="14" fillId="0" borderId="5" xfId="0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top" wrapText="1"/>
    </xf>
    <xf numFmtId="0" fontId="17" fillId="0" borderId="39" xfId="0" applyFont="1" applyBorder="1" applyAlignment="1" applyProtection="1">
      <alignment horizontal="center" vertical="center"/>
    </xf>
    <xf numFmtId="0" fontId="18" fillId="0" borderId="40" xfId="0" applyFont="1" applyBorder="1" applyAlignment="1" applyProtection="1">
      <alignment horizontal="center" vertical="center"/>
    </xf>
    <xf numFmtId="0" fontId="18" fillId="0" borderId="40" xfId="0" applyFont="1" applyBorder="1" applyAlignment="1" applyProtection="1">
      <alignment horizontal="center" vertical="center" wrapText="1"/>
    </xf>
    <xf numFmtId="0" fontId="0" fillId="0" borderId="32" xfId="0" applyFont="1" applyBorder="1" applyAlignment="1">
      <alignment vertical="top" wrapText="1"/>
    </xf>
    <xf numFmtId="0" fontId="17" fillId="0" borderId="44" xfId="0" applyFont="1" applyBorder="1" applyAlignment="1" applyProtection="1">
      <alignment horizontal="center" vertical="center"/>
    </xf>
    <xf numFmtId="0" fontId="18" fillId="0" borderId="45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6" borderId="5" xfId="0" applyFill="1" applyBorder="1">
      <alignment vertical="center"/>
    </xf>
    <xf numFmtId="0" fontId="0" fillId="7" borderId="5" xfId="0" applyFill="1" applyBorder="1">
      <alignment vertical="center"/>
    </xf>
    <xf numFmtId="38" fontId="0" fillId="0" borderId="5" xfId="1" applyFont="1" applyBorder="1">
      <alignment vertical="center"/>
    </xf>
    <xf numFmtId="38" fontId="0" fillId="0" borderId="0" xfId="1" applyFont="1">
      <alignment vertical="center"/>
    </xf>
    <xf numFmtId="0" fontId="0" fillId="0" borderId="5" xfId="0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10" fontId="15" fillId="0" borderId="8" xfId="2" applyNumberFormat="1" applyFont="1" applyBorder="1" applyAlignment="1">
      <alignment horizontal="center" vertical="center"/>
    </xf>
    <xf numFmtId="38" fontId="0" fillId="0" borderId="12" xfId="1" applyFont="1" applyBorder="1">
      <alignment vertical="center"/>
    </xf>
    <xf numFmtId="38" fontId="15" fillId="6" borderId="5" xfId="1" applyFont="1" applyFill="1" applyBorder="1">
      <alignment vertical="center"/>
    </xf>
    <xf numFmtId="0" fontId="19" fillId="0" borderId="0" xfId="0" applyFont="1">
      <alignment vertical="center"/>
    </xf>
    <xf numFmtId="38" fontId="15" fillId="0" borderId="8" xfId="1" applyFont="1" applyBorder="1" applyAlignment="1">
      <alignment horizontal="center" vertical="center"/>
    </xf>
    <xf numFmtId="38" fontId="0" fillId="0" borderId="0" xfId="0" applyNumberFormat="1" applyFont="1" applyBorder="1" applyAlignment="1">
      <alignment horizontal="right" vertical="center"/>
    </xf>
    <xf numFmtId="38" fontId="0" fillId="7" borderId="5" xfId="1" applyFont="1" applyFill="1" applyBorder="1">
      <alignment vertical="center"/>
    </xf>
    <xf numFmtId="38" fontId="0" fillId="0" borderId="47" xfId="1" applyFont="1" applyBorder="1">
      <alignment vertical="center"/>
    </xf>
    <xf numFmtId="0" fontId="0" fillId="0" borderId="0" xfId="0" applyAlignment="1">
      <alignment horizontal="left" vertical="center"/>
    </xf>
    <xf numFmtId="38" fontId="0" fillId="0" borderId="5" xfId="1" applyFont="1" applyBorder="1" applyAlignment="1">
      <alignment horizontal="right"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38" fontId="0" fillId="0" borderId="6" xfId="1" applyFont="1" applyBorder="1">
      <alignment vertical="center"/>
    </xf>
    <xf numFmtId="38" fontId="0" fillId="0" borderId="30" xfId="1" applyFont="1" applyBorder="1">
      <alignment vertical="center"/>
    </xf>
    <xf numFmtId="0" fontId="20" fillId="0" borderId="0" xfId="0" applyFont="1">
      <alignment vertical="center"/>
    </xf>
    <xf numFmtId="0" fontId="0" fillId="7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0" fillId="0" borderId="5" xfId="0" applyFont="1" applyFill="1" applyBorder="1">
      <alignment vertical="center"/>
    </xf>
    <xf numFmtId="0" fontId="15" fillId="0" borderId="5" xfId="0" applyFont="1" applyBorder="1" applyAlignment="1">
      <alignment horizontal="center" vertical="center"/>
    </xf>
    <xf numFmtId="38" fontId="15" fillId="0" borderId="5" xfId="1" applyFont="1" applyBorder="1">
      <alignment vertical="center"/>
    </xf>
    <xf numFmtId="0" fontId="15" fillId="0" borderId="5" xfId="0" applyFont="1" applyBorder="1">
      <alignment vertical="center"/>
    </xf>
    <xf numFmtId="0" fontId="20" fillId="0" borderId="5" xfId="0" applyFont="1" applyBorder="1" applyAlignment="1">
      <alignment horizontal="center" vertical="center"/>
    </xf>
    <xf numFmtId="38" fontId="20" fillId="0" borderId="5" xfId="1" applyFont="1" applyBorder="1">
      <alignment vertical="center"/>
    </xf>
    <xf numFmtId="0" fontId="0" fillId="2" borderId="5" xfId="0" applyFill="1" applyBorder="1">
      <alignment vertical="center"/>
    </xf>
    <xf numFmtId="0" fontId="0" fillId="10" borderId="5" xfId="0" applyFill="1" applyBorder="1">
      <alignment vertical="center"/>
    </xf>
    <xf numFmtId="0" fontId="0" fillId="5" borderId="5" xfId="0" applyFill="1" applyBorder="1">
      <alignment vertical="center"/>
    </xf>
    <xf numFmtId="0" fontId="0" fillId="9" borderId="5" xfId="0" applyFill="1" applyBorder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ill="1">
      <alignment vertical="center"/>
    </xf>
    <xf numFmtId="38" fontId="17" fillId="0" borderId="5" xfId="0" applyNumberFormat="1" applyFont="1" applyBorder="1" applyAlignment="1">
      <alignment horizontal="center" vertical="center"/>
    </xf>
    <xf numFmtId="38" fontId="0" fillId="0" borderId="5" xfId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right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38" fontId="5" fillId="4" borderId="20" xfId="1" applyFont="1" applyFill="1" applyBorder="1" applyAlignment="1" applyProtection="1">
      <alignment horizontal="right" vertical="center"/>
      <protection locked="0"/>
    </xf>
    <xf numFmtId="38" fontId="5" fillId="4" borderId="23" xfId="1" applyFont="1" applyFill="1" applyBorder="1" applyAlignment="1" applyProtection="1">
      <alignment horizontal="right" vertical="center"/>
      <protection locked="0"/>
    </xf>
    <xf numFmtId="38" fontId="5" fillId="4" borderId="27" xfId="1" applyFont="1" applyFill="1" applyBorder="1" applyAlignment="1" applyProtection="1">
      <alignment horizontal="right" vertical="center"/>
      <protection locked="0"/>
    </xf>
    <xf numFmtId="38" fontId="5" fillId="4" borderId="21" xfId="1" applyFont="1" applyFill="1" applyBorder="1" applyAlignment="1" applyProtection="1">
      <alignment horizontal="right" vertical="center"/>
      <protection locked="0"/>
    </xf>
    <xf numFmtId="38" fontId="5" fillId="4" borderId="24" xfId="1" applyFont="1" applyFill="1" applyBorder="1" applyAlignment="1" applyProtection="1">
      <alignment horizontal="right" vertical="center"/>
      <protection locked="0"/>
    </xf>
    <xf numFmtId="38" fontId="5" fillId="4" borderId="28" xfId="1" applyFont="1" applyFill="1" applyBorder="1" applyAlignment="1" applyProtection="1">
      <alignment horizontal="right" vertical="center"/>
      <protection locked="0"/>
    </xf>
    <xf numFmtId="38" fontId="5" fillId="4" borderId="9" xfId="1" applyFont="1" applyFill="1" applyBorder="1" applyAlignment="1" applyProtection="1">
      <alignment horizontal="right" vertical="center"/>
      <protection locked="0"/>
    </xf>
    <xf numFmtId="38" fontId="5" fillId="4" borderId="13" xfId="1" applyFont="1" applyFill="1" applyBorder="1" applyAlignment="1" applyProtection="1">
      <alignment horizontal="right" vertical="center"/>
      <protection locked="0"/>
    </xf>
    <xf numFmtId="0" fontId="0" fillId="0" borderId="5" xfId="0" applyFont="1" applyBorder="1" applyAlignment="1" applyProtection="1">
      <alignment horizontal="center" vertical="center"/>
    </xf>
    <xf numFmtId="38" fontId="6" fillId="0" borderId="9" xfId="0" applyNumberFormat="1" applyFont="1" applyBorder="1" applyAlignment="1" applyProtection="1">
      <alignment horizontal="right" vertical="center"/>
    </xf>
    <xf numFmtId="38" fontId="6" fillId="0" borderId="16" xfId="0" applyNumberFormat="1" applyFont="1" applyBorder="1" applyAlignment="1" applyProtection="1">
      <alignment horizontal="right" vertical="center"/>
    </xf>
    <xf numFmtId="0" fontId="6" fillId="0" borderId="16" xfId="0" applyFont="1" applyBorder="1" applyAlignment="1" applyProtection="1">
      <alignment horizontal="right" vertical="center"/>
    </xf>
    <xf numFmtId="38" fontId="7" fillId="0" borderId="9" xfId="0" applyNumberFormat="1" applyFont="1" applyBorder="1" applyAlignment="1" applyProtection="1">
      <alignment horizontal="right" vertical="center"/>
    </xf>
    <xf numFmtId="38" fontId="7" fillId="0" borderId="16" xfId="0" applyNumberFormat="1" applyFont="1" applyBorder="1" applyAlignment="1" applyProtection="1">
      <alignment horizontal="right" vertical="center"/>
    </xf>
    <xf numFmtId="0" fontId="8" fillId="0" borderId="14" xfId="0" applyFont="1" applyBorder="1" applyAlignment="1">
      <alignment horizontal="center" vertical="center"/>
    </xf>
    <xf numFmtId="38" fontId="11" fillId="0" borderId="14" xfId="0" applyNumberFormat="1" applyFont="1" applyBorder="1" applyAlignment="1">
      <alignment horizontal="right" vertical="center"/>
    </xf>
    <xf numFmtId="38" fontId="11" fillId="0" borderId="15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32" xfId="0" applyFont="1" applyBorder="1" applyAlignment="1">
      <alignment horizontal="left" vertical="top" wrapText="1"/>
    </xf>
    <xf numFmtId="0" fontId="0" fillId="0" borderId="6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 wrapText="1"/>
    </xf>
    <xf numFmtId="0" fontId="0" fillId="0" borderId="22" xfId="0" applyFont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26" xfId="0" applyFont="1" applyBorder="1" applyAlignment="1" applyProtection="1">
      <alignment horizontal="center" vertical="center" wrapText="1"/>
    </xf>
    <xf numFmtId="0" fontId="17" fillId="0" borderId="36" xfId="0" applyFont="1" applyBorder="1" applyAlignment="1" applyProtection="1">
      <alignment horizontal="center" vertical="center"/>
    </xf>
    <xf numFmtId="0" fontId="17" fillId="0" borderId="37" xfId="0" applyFont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center" vertical="center"/>
    </xf>
    <xf numFmtId="0" fontId="18" fillId="0" borderId="42" xfId="0" applyFont="1" applyBorder="1" applyAlignment="1" applyProtection="1">
      <alignment horizontal="center" vertical="center"/>
    </xf>
    <xf numFmtId="38" fontId="0" fillId="0" borderId="5" xfId="0" applyNumberFormat="1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17" fillId="0" borderId="35" xfId="0" applyFont="1" applyBorder="1" applyAlignment="1" applyProtection="1">
      <alignment horizontal="center" vertical="center"/>
    </xf>
    <xf numFmtId="0" fontId="17" fillId="0" borderId="38" xfId="0" applyFont="1" applyBorder="1" applyAlignment="1" applyProtection="1">
      <alignment horizontal="center" vertical="center"/>
    </xf>
    <xf numFmtId="0" fontId="18" fillId="0" borderId="40" xfId="0" applyFont="1" applyBorder="1" applyAlignment="1" applyProtection="1">
      <alignment horizontal="center" vertical="center"/>
    </xf>
    <xf numFmtId="0" fontId="18" fillId="0" borderId="43" xfId="0" applyFont="1" applyBorder="1" applyAlignment="1" applyProtection="1">
      <alignment horizontal="center" vertical="center"/>
    </xf>
    <xf numFmtId="0" fontId="18" fillId="0" borderId="40" xfId="0" applyFont="1" applyBorder="1" applyAlignment="1" applyProtection="1">
      <alignment horizontal="center" vertical="center" wrapText="1"/>
    </xf>
    <xf numFmtId="0" fontId="18" fillId="0" borderId="43" xfId="0" applyFont="1" applyBorder="1" applyAlignment="1" applyProtection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/>
    </xf>
    <xf numFmtId="38" fontId="15" fillId="7" borderId="12" xfId="1" applyFont="1" applyFill="1" applyBorder="1" applyAlignment="1">
      <alignment horizontal="right" vertical="center"/>
    </xf>
    <xf numFmtId="38" fontId="15" fillId="0" borderId="12" xfId="1" applyFont="1" applyBorder="1" applyAlignment="1">
      <alignment horizontal="right" vertical="center"/>
    </xf>
    <xf numFmtId="38" fontId="15" fillId="0" borderId="30" xfId="1" applyFon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49" xfId="1" applyFont="1" applyBorder="1" applyAlignment="1">
      <alignment horizontal="right" vertical="center"/>
    </xf>
    <xf numFmtId="0" fontId="20" fillId="0" borderId="9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38" fontId="0" fillId="0" borderId="6" xfId="0" applyNumberFormat="1" applyFont="1" applyBorder="1" applyAlignment="1">
      <alignment horizontal="center" vertical="center"/>
    </xf>
    <xf numFmtId="14" fontId="0" fillId="6" borderId="6" xfId="0" applyNumberFormat="1" applyFont="1" applyFill="1" applyBorder="1" applyAlignment="1">
      <alignment horizontal="center" vertical="center"/>
    </xf>
    <xf numFmtId="0" fontId="0" fillId="6" borderId="46" xfId="0" applyFont="1" applyFill="1" applyBorder="1" applyAlignment="1">
      <alignment horizontal="center" vertical="center"/>
    </xf>
    <xf numFmtId="0" fontId="0" fillId="6" borderId="8" xfId="0" applyFont="1" applyFill="1" applyBorder="1" applyAlignment="1">
      <alignment horizontal="center" vertical="center"/>
    </xf>
    <xf numFmtId="38" fontId="0" fillId="0" borderId="6" xfId="1" applyFont="1" applyBorder="1" applyAlignment="1">
      <alignment horizontal="right" vertical="center"/>
    </xf>
    <xf numFmtId="38" fontId="0" fillId="0" borderId="46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38" fontId="16" fillId="0" borderId="1" xfId="1" applyFont="1" applyBorder="1" applyAlignment="1">
      <alignment horizontal="right" vertical="center"/>
    </xf>
    <xf numFmtId="38" fontId="16" fillId="0" borderId="31" xfId="1" applyFont="1" applyBorder="1" applyAlignment="1">
      <alignment horizontal="right" vertical="center"/>
    </xf>
    <xf numFmtId="38" fontId="16" fillId="0" borderId="3" xfId="1" applyFont="1" applyBorder="1" applyAlignment="1">
      <alignment horizontal="right" vertical="center"/>
    </xf>
    <xf numFmtId="38" fontId="16" fillId="0" borderId="33" xfId="1" applyFont="1" applyBorder="1" applyAlignment="1">
      <alignment horizontal="right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CC"/>
      <color rgb="FF00FF12"/>
      <color rgb="FF0027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96520</xdr:colOff>
      <xdr:row>5</xdr:row>
      <xdr:rowOff>75565</xdr:rowOff>
    </xdr:from>
    <xdr:to>
      <xdr:col>50</xdr:col>
      <xdr:colOff>486410</xdr:colOff>
      <xdr:row>25</xdr:row>
      <xdr:rowOff>114300</xdr:rowOff>
    </xdr:to>
    <xdr:pic>
      <xdr:nvPicPr>
        <xdr:cNvPr id="17" name="図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8345" t="15082" r="71176" b="18697"/>
        <a:stretch>
          <a:fillRect/>
        </a:stretch>
      </xdr:blipFill>
      <xdr:spPr>
        <a:xfrm>
          <a:off x="24121745" y="1149985"/>
          <a:ext cx="3818890" cy="375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39</xdr:col>
      <xdr:colOff>98425</xdr:colOff>
      <xdr:row>5</xdr:row>
      <xdr:rowOff>79375</xdr:rowOff>
    </xdr:from>
    <xdr:to>
      <xdr:col>45</xdr:col>
      <xdr:colOff>40640</xdr:colOff>
      <xdr:row>25</xdr:row>
      <xdr:rowOff>109220</xdr:rowOff>
    </xdr:to>
    <xdr:pic>
      <xdr:nvPicPr>
        <xdr:cNvPr id="19" name="図 1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7265" t="14883" r="72421" b="19753"/>
        <a:stretch>
          <a:fillRect/>
        </a:stretch>
      </xdr:blipFill>
      <xdr:spPr>
        <a:xfrm>
          <a:off x="20161250" y="1153795"/>
          <a:ext cx="3904615" cy="3750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132715</xdr:colOff>
      <xdr:row>5</xdr:row>
      <xdr:rowOff>76835</xdr:rowOff>
    </xdr:from>
    <xdr:to>
      <xdr:col>31</xdr:col>
      <xdr:colOff>374650</xdr:colOff>
      <xdr:row>15</xdr:row>
      <xdr:rowOff>73660</xdr:rowOff>
    </xdr:to>
    <xdr:pic>
      <xdr:nvPicPr>
        <xdr:cNvPr id="14" name="図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4065" t="17358" r="68250" b="40332"/>
        <a:stretch>
          <a:fillRect/>
        </a:stretch>
      </xdr:blipFill>
      <xdr:spPr>
        <a:xfrm>
          <a:off x="11661140" y="1151255"/>
          <a:ext cx="3899535" cy="1812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16</xdr:row>
      <xdr:rowOff>90170</xdr:rowOff>
    </xdr:from>
    <xdr:to>
      <xdr:col>15</xdr:col>
      <xdr:colOff>130810</xdr:colOff>
      <xdr:row>23</xdr:row>
      <xdr:rowOff>67945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2565" y="3170555"/>
          <a:ext cx="7279640" cy="1311275"/>
        </a:xfrm>
        <a:prstGeom prst="roundRect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</xdr:col>
      <xdr:colOff>269240</xdr:colOff>
      <xdr:row>34</xdr:row>
      <xdr:rowOff>89535</xdr:rowOff>
    </xdr:from>
    <xdr:to>
      <xdr:col>7</xdr:col>
      <xdr:colOff>525780</xdr:colOff>
      <xdr:row>34</xdr:row>
      <xdr:rowOff>199390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188335" y="7867650"/>
          <a:ext cx="1144905" cy="109855"/>
        </a:xfrm>
        <a:prstGeom prst="flowChartMerge">
          <a:avLst/>
        </a:prstGeom>
        <a:ln w="25400" cap="flat" cmpd="sng" algn="ctr"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</xdr:col>
      <xdr:colOff>238125</xdr:colOff>
      <xdr:row>44</xdr:row>
      <xdr:rowOff>96520</xdr:rowOff>
    </xdr:from>
    <xdr:to>
      <xdr:col>7</xdr:col>
      <xdr:colOff>525780</xdr:colOff>
      <xdr:row>44</xdr:row>
      <xdr:rowOff>204470</xdr:rowOff>
    </xdr:to>
    <xdr:sp macro="" textlink="">
      <xdr:nvSpPr>
        <xdr:cNvPr id="5" name="図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157220" y="10404475"/>
          <a:ext cx="1176020" cy="1079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>
      <xdr:col>13</xdr:col>
      <xdr:colOff>434975</xdr:colOff>
      <xdr:row>2</xdr:row>
      <xdr:rowOff>77470</xdr:rowOff>
    </xdr:from>
    <xdr:to>
      <xdr:col>15</xdr:col>
      <xdr:colOff>242570</xdr:colOff>
      <xdr:row>6</xdr:row>
      <xdr:rowOff>80010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53860" y="648970"/>
          <a:ext cx="840105" cy="695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33020</xdr:colOff>
      <xdr:row>46</xdr:row>
      <xdr:rowOff>0</xdr:rowOff>
    </xdr:from>
    <xdr:to>
      <xdr:col>2</xdr:col>
      <xdr:colOff>353695</xdr:colOff>
      <xdr:row>50</xdr:row>
      <xdr:rowOff>267970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b="4929"/>
        <a:stretch>
          <a:fillRect/>
        </a:stretch>
      </xdr:blipFill>
      <xdr:spPr>
        <a:xfrm>
          <a:off x="235585" y="10605135"/>
          <a:ext cx="1259840" cy="12052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39</xdr:col>
      <xdr:colOff>454025</xdr:colOff>
      <xdr:row>16</xdr:row>
      <xdr:rowOff>147955</xdr:rowOff>
    </xdr:from>
    <xdr:to>
      <xdr:col>42</xdr:col>
      <xdr:colOff>191135</xdr:colOff>
      <xdr:row>19</xdr:row>
      <xdr:rowOff>113030</xdr:rowOff>
    </xdr:to>
    <xdr:sp macro="" textlink="">
      <xdr:nvSpPr>
        <xdr:cNvPr id="9" name="四角形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0516850" y="3228340"/>
          <a:ext cx="1642110" cy="536575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45</xdr:col>
      <xdr:colOff>416560</xdr:colOff>
      <xdr:row>17</xdr:row>
      <xdr:rowOff>105410</xdr:rowOff>
    </xdr:from>
    <xdr:to>
      <xdr:col>47</xdr:col>
      <xdr:colOff>662305</xdr:colOff>
      <xdr:row>23</xdr:row>
      <xdr:rowOff>15875</xdr:rowOff>
    </xdr:to>
    <xdr:sp macro="" textlink="">
      <xdr:nvSpPr>
        <xdr:cNvPr id="11" name="四角形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4441785" y="3376295"/>
          <a:ext cx="1617345" cy="1053465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26</xdr:col>
      <xdr:colOff>277495</xdr:colOff>
      <xdr:row>9</xdr:row>
      <xdr:rowOff>147955</xdr:rowOff>
    </xdr:from>
    <xdr:to>
      <xdr:col>27</xdr:col>
      <xdr:colOff>355600</xdr:colOff>
      <xdr:row>11</xdr:row>
      <xdr:rowOff>142240</xdr:rowOff>
    </xdr:to>
    <xdr:sp macro="" textlink="">
      <xdr:nvSpPr>
        <xdr:cNvPr id="13" name="四角形 1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415520" y="1894840"/>
          <a:ext cx="687705" cy="375285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>
      <xdr:col>32</xdr:col>
      <xdr:colOff>208915</xdr:colOff>
      <xdr:row>5</xdr:row>
      <xdr:rowOff>90170</xdr:rowOff>
    </xdr:from>
    <xdr:to>
      <xdr:col>38</xdr:col>
      <xdr:colOff>467360</xdr:colOff>
      <xdr:row>15</xdr:row>
      <xdr:rowOff>100965</xdr:rowOff>
    </xdr:to>
    <xdr:pic>
      <xdr:nvPicPr>
        <xdr:cNvPr id="15" name="図 1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6801" t="30159" r="63670" b="25211"/>
        <a:stretch>
          <a:fillRect/>
        </a:stretch>
      </xdr:blipFill>
      <xdr:spPr>
        <a:xfrm>
          <a:off x="16004540" y="1164590"/>
          <a:ext cx="3916045" cy="1826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33</xdr:col>
      <xdr:colOff>434975</xdr:colOff>
      <xdr:row>8</xdr:row>
      <xdr:rowOff>42545</xdr:rowOff>
    </xdr:from>
    <xdr:to>
      <xdr:col>36</xdr:col>
      <xdr:colOff>152400</xdr:colOff>
      <xdr:row>11</xdr:row>
      <xdr:rowOff>80645</xdr:rowOff>
    </xdr:to>
    <xdr:sp macro="" textlink="">
      <xdr:nvSpPr>
        <xdr:cNvPr id="16" name="四角形 1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6840200" y="1667510"/>
          <a:ext cx="1546225" cy="541020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39</xdr:col>
      <xdr:colOff>452755</xdr:colOff>
      <xdr:row>20</xdr:row>
      <xdr:rowOff>91440</xdr:rowOff>
    </xdr:from>
    <xdr:to>
      <xdr:col>42</xdr:col>
      <xdr:colOff>190500</xdr:colOff>
      <xdr:row>21</xdr:row>
      <xdr:rowOff>136525</xdr:rowOff>
    </xdr:to>
    <xdr:sp macro="" textlink="">
      <xdr:nvSpPr>
        <xdr:cNvPr id="20" name="四角形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0515580" y="3933825"/>
          <a:ext cx="1642745" cy="235585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39</xdr:col>
      <xdr:colOff>441325</xdr:colOff>
      <xdr:row>22</xdr:row>
      <xdr:rowOff>16510</xdr:rowOff>
    </xdr:from>
    <xdr:to>
      <xdr:col>42</xdr:col>
      <xdr:colOff>178435</xdr:colOff>
      <xdr:row>22</xdr:row>
      <xdr:rowOff>144780</xdr:rowOff>
    </xdr:to>
    <xdr:sp macro="" textlink="">
      <xdr:nvSpPr>
        <xdr:cNvPr id="21" name="四角形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0504150" y="4239895"/>
          <a:ext cx="1642110" cy="128270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>
      <xdr:col>25</xdr:col>
      <xdr:colOff>237490</xdr:colOff>
      <xdr:row>17</xdr:row>
      <xdr:rowOff>181610</xdr:rowOff>
    </xdr:from>
    <xdr:to>
      <xdr:col>31</xdr:col>
      <xdr:colOff>392430</xdr:colOff>
      <xdr:row>25</xdr:row>
      <xdr:rowOff>138430</xdr:rowOff>
    </xdr:to>
    <xdr:pic>
      <xdr:nvPicPr>
        <xdr:cNvPr id="22" name="図 2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5151" t="18344" r="67329" b="46252"/>
        <a:stretch>
          <a:fillRect/>
        </a:stretch>
      </xdr:blipFill>
      <xdr:spPr>
        <a:xfrm>
          <a:off x="11765915" y="3452495"/>
          <a:ext cx="3812540" cy="14808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26</xdr:col>
      <xdr:colOff>12065</xdr:colOff>
      <xdr:row>23</xdr:row>
      <xdr:rowOff>87630</xdr:rowOff>
    </xdr:from>
    <xdr:to>
      <xdr:col>28</xdr:col>
      <xdr:colOff>348615</xdr:colOff>
      <xdr:row>24</xdr:row>
      <xdr:rowOff>29210</xdr:rowOff>
    </xdr:to>
    <xdr:sp macro="" textlink="">
      <xdr:nvSpPr>
        <xdr:cNvPr id="23" name="四角形 2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2150090" y="4501515"/>
          <a:ext cx="1555750" cy="132080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>
      <xdr:col>32</xdr:col>
      <xdr:colOff>252095</xdr:colOff>
      <xdr:row>17</xdr:row>
      <xdr:rowOff>158115</xdr:rowOff>
    </xdr:from>
    <xdr:to>
      <xdr:col>38</xdr:col>
      <xdr:colOff>408940</xdr:colOff>
      <xdr:row>25</xdr:row>
      <xdr:rowOff>102235</xdr:rowOff>
    </xdr:to>
    <xdr:pic>
      <xdr:nvPicPr>
        <xdr:cNvPr id="24" name="図 2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5151" t="18344" r="67329" b="46275"/>
        <a:stretch>
          <a:fillRect/>
        </a:stretch>
      </xdr:blipFill>
      <xdr:spPr>
        <a:xfrm>
          <a:off x="16047720" y="3429000"/>
          <a:ext cx="3814445" cy="14681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32</xdr:col>
      <xdr:colOff>548640</xdr:colOff>
      <xdr:row>23</xdr:row>
      <xdr:rowOff>186055</xdr:rowOff>
    </xdr:from>
    <xdr:to>
      <xdr:col>35</xdr:col>
      <xdr:colOff>172085</xdr:colOff>
      <xdr:row>24</xdr:row>
      <xdr:rowOff>132080</xdr:rowOff>
    </xdr:to>
    <xdr:sp macro="" textlink="">
      <xdr:nvSpPr>
        <xdr:cNvPr id="25" name="四角形 2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6344265" y="4599940"/>
          <a:ext cx="1452245" cy="136525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53"/>
  <sheetViews>
    <sheetView tabSelected="1" view="pageBreakPreview" zoomScale="85" zoomScaleNormal="70" zoomScaleSheetLayoutView="85" workbookViewId="0">
      <selection activeCell="G30" sqref="G30:H30"/>
    </sheetView>
  </sheetViews>
  <sheetFormatPr defaultRowHeight="13.2" x14ac:dyDescent="0.2"/>
  <cols>
    <col min="1" max="1" width="2.6640625" customWidth="1"/>
    <col min="2" max="2" width="12.33203125" customWidth="1"/>
    <col min="3" max="5" width="7.77734375" customWidth="1"/>
    <col min="6" max="6" width="8" customWidth="1"/>
    <col min="7" max="7" width="3.6640625" bestFit="1" customWidth="1"/>
    <col min="8" max="8" width="11.5546875" customWidth="1"/>
    <col min="9" max="9" width="3.6640625" customWidth="1"/>
    <col min="10" max="10" width="6.77734375" customWidth="1"/>
    <col min="11" max="13" width="3.6640625" bestFit="1" customWidth="1"/>
    <col min="14" max="15" width="6.77734375" customWidth="1"/>
    <col min="16" max="18" width="3.6640625" customWidth="1"/>
    <col min="19" max="20" width="6.77734375" customWidth="1"/>
    <col min="21" max="23" width="3.6640625" customWidth="1"/>
    <col min="24" max="24" width="5.44140625" customWidth="1"/>
    <col min="25" max="25" width="13.88671875" customWidth="1"/>
    <col min="26" max="41" width="8" customWidth="1"/>
    <col min="51" max="51" width="7.21875" customWidth="1"/>
  </cols>
  <sheetData>
    <row r="1" spans="1:51" ht="35.4" customHeight="1" x14ac:dyDescent="0.2">
      <c r="A1" s="1"/>
      <c r="B1" s="117" t="s">
        <v>13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8"/>
      <c r="R1" s="8"/>
      <c r="S1" s="8"/>
      <c r="T1" s="8"/>
      <c r="U1" s="8"/>
      <c r="V1" s="8"/>
      <c r="W1" s="8"/>
      <c r="X1" s="50"/>
      <c r="Z1" s="59" t="s">
        <v>327</v>
      </c>
    </row>
    <row r="2" spans="1:51" ht="9.6" customHeight="1" x14ac:dyDescent="0.2">
      <c r="A2" s="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8" t="s">
        <v>387</v>
      </c>
      <c r="O2" s="118"/>
      <c r="P2" s="118"/>
      <c r="Q2" s="118"/>
      <c r="R2" s="118"/>
      <c r="S2" s="118"/>
      <c r="T2" s="118"/>
      <c r="U2" s="118"/>
      <c r="V2" s="118"/>
      <c r="W2" s="118"/>
      <c r="X2" s="119"/>
      <c r="Z2" s="149" t="s">
        <v>7</v>
      </c>
      <c r="AA2" s="150"/>
      <c r="AB2" s="150"/>
      <c r="AC2" s="150"/>
      <c r="AD2" s="150"/>
      <c r="AE2" s="150"/>
      <c r="AF2" s="151"/>
      <c r="AG2" s="149" t="s">
        <v>329</v>
      </c>
      <c r="AH2" s="150"/>
      <c r="AI2" s="150"/>
      <c r="AJ2" s="150"/>
      <c r="AK2" s="150"/>
      <c r="AL2" s="150"/>
      <c r="AM2" s="151"/>
      <c r="AN2" s="149" t="s">
        <v>333</v>
      </c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1"/>
    </row>
    <row r="3" spans="1:51" ht="9.6" customHeight="1" x14ac:dyDescent="0.2">
      <c r="A3" s="3"/>
      <c r="X3" s="51"/>
      <c r="Z3" s="152"/>
      <c r="AA3" s="153"/>
      <c r="AB3" s="153"/>
      <c r="AC3" s="153"/>
      <c r="AD3" s="153"/>
      <c r="AE3" s="153"/>
      <c r="AF3" s="154"/>
      <c r="AG3" s="152"/>
      <c r="AH3" s="153"/>
      <c r="AI3" s="153"/>
      <c r="AJ3" s="153"/>
      <c r="AK3" s="153"/>
      <c r="AL3" s="153"/>
      <c r="AM3" s="154"/>
      <c r="AN3" s="152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4"/>
    </row>
    <row r="4" spans="1:51" ht="15" customHeight="1" x14ac:dyDescent="0.2">
      <c r="A4" s="3"/>
      <c r="B4" s="10" t="s">
        <v>330</v>
      </c>
      <c r="X4" s="51"/>
      <c r="Z4" s="152"/>
      <c r="AA4" s="153"/>
      <c r="AB4" s="153"/>
      <c r="AC4" s="153"/>
      <c r="AD4" s="153"/>
      <c r="AE4" s="153"/>
      <c r="AF4" s="154"/>
      <c r="AG4" s="152"/>
      <c r="AH4" s="153"/>
      <c r="AI4" s="153"/>
      <c r="AJ4" s="153"/>
      <c r="AK4" s="153"/>
      <c r="AL4" s="153"/>
      <c r="AM4" s="154"/>
      <c r="AN4" s="152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4"/>
    </row>
    <row r="5" spans="1:51" ht="15" customHeight="1" x14ac:dyDescent="0.2">
      <c r="A5" s="3"/>
      <c r="B5" s="10" t="s">
        <v>98</v>
      </c>
      <c r="X5" s="51"/>
      <c r="Z5" s="152"/>
      <c r="AA5" s="153"/>
      <c r="AB5" s="153"/>
      <c r="AC5" s="153"/>
      <c r="AD5" s="153"/>
      <c r="AE5" s="153"/>
      <c r="AF5" s="154"/>
      <c r="AG5" s="152"/>
      <c r="AH5" s="153"/>
      <c r="AI5" s="153"/>
      <c r="AJ5" s="153"/>
      <c r="AK5" s="153"/>
      <c r="AL5" s="153"/>
      <c r="AM5" s="154"/>
      <c r="AN5" s="152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4"/>
    </row>
    <row r="6" spans="1:51" ht="15" customHeight="1" x14ac:dyDescent="0.2">
      <c r="A6" s="3"/>
      <c r="B6" s="10" t="s">
        <v>97</v>
      </c>
      <c r="X6" s="51"/>
      <c r="Z6" s="152"/>
      <c r="AA6" s="153"/>
      <c r="AB6" s="153"/>
      <c r="AC6" s="153"/>
      <c r="AD6" s="153"/>
      <c r="AE6" s="153"/>
      <c r="AF6" s="154"/>
      <c r="AG6" s="152"/>
      <c r="AH6" s="153"/>
      <c r="AI6" s="153"/>
      <c r="AJ6" s="153"/>
      <c r="AK6" s="153"/>
      <c r="AL6" s="153"/>
      <c r="AM6" s="154"/>
      <c r="AN6" s="152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4"/>
    </row>
    <row r="7" spans="1:51" ht="9.6" customHeight="1" x14ac:dyDescent="0.2">
      <c r="A7" s="3"/>
      <c r="X7" s="51"/>
      <c r="Z7" s="3"/>
      <c r="AF7" s="51"/>
      <c r="AG7" s="3"/>
      <c r="AM7" s="51"/>
      <c r="AN7" s="3"/>
      <c r="AY7" s="51"/>
    </row>
    <row r="8" spans="1:51" ht="19.2" x14ac:dyDescent="0.2">
      <c r="A8" s="4"/>
      <c r="B8" s="11" t="s">
        <v>102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52"/>
      <c r="Z8" s="3"/>
      <c r="AF8" s="51"/>
      <c r="AG8" s="3"/>
      <c r="AM8" s="51"/>
      <c r="AN8" s="3"/>
      <c r="AY8" s="51"/>
    </row>
    <row r="9" spans="1:51" ht="9.6" customHeight="1" x14ac:dyDescent="0.2">
      <c r="A9" s="5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53"/>
      <c r="Z9" s="3"/>
      <c r="AF9" s="51"/>
      <c r="AG9" s="3"/>
      <c r="AM9" s="51"/>
      <c r="AN9" s="3"/>
      <c r="AY9" s="51"/>
    </row>
    <row r="10" spans="1:51" ht="15" customHeight="1" x14ac:dyDescent="0.2">
      <c r="A10" s="3"/>
      <c r="B10" s="10" t="s">
        <v>338</v>
      </c>
      <c r="X10" s="51"/>
      <c r="Z10" s="3"/>
      <c r="AF10" s="51"/>
      <c r="AG10" s="3"/>
      <c r="AM10" s="51"/>
      <c r="AN10" s="3"/>
      <c r="AY10" s="51"/>
    </row>
    <row r="11" spans="1:51" ht="15" customHeight="1" x14ac:dyDescent="0.2">
      <c r="A11" s="3"/>
      <c r="B11" s="10" t="s">
        <v>144</v>
      </c>
      <c r="X11" s="51"/>
      <c r="Z11" s="3"/>
      <c r="AF11" s="51"/>
      <c r="AG11" s="3"/>
      <c r="AM11" s="51"/>
      <c r="AN11" s="3"/>
      <c r="AY11" s="51"/>
    </row>
    <row r="12" spans="1:51" ht="15" customHeight="1" x14ac:dyDescent="0.2">
      <c r="A12" s="3"/>
      <c r="B12" s="10" t="s">
        <v>106</v>
      </c>
      <c r="X12" s="51"/>
      <c r="Z12" s="3"/>
      <c r="AF12" s="51"/>
      <c r="AG12" s="3"/>
      <c r="AM12" s="51"/>
      <c r="AN12" s="3"/>
      <c r="AY12" s="51"/>
    </row>
    <row r="13" spans="1:51" ht="15" customHeight="1" x14ac:dyDescent="0.2">
      <c r="A13" s="3"/>
      <c r="B13" s="10" t="s">
        <v>108</v>
      </c>
      <c r="X13" s="51"/>
      <c r="Z13" s="3"/>
      <c r="AF13" s="51"/>
      <c r="AG13" s="3"/>
      <c r="AM13" s="51"/>
      <c r="AN13" s="3"/>
      <c r="AY13" s="51"/>
    </row>
    <row r="14" spans="1:51" ht="15" customHeight="1" x14ac:dyDescent="0.2">
      <c r="A14" s="3"/>
      <c r="B14" s="10" t="s">
        <v>111</v>
      </c>
      <c r="X14" s="51"/>
      <c r="Z14" s="3"/>
      <c r="AF14" s="51"/>
      <c r="AG14" s="3"/>
      <c r="AM14" s="51"/>
      <c r="AN14" s="3"/>
      <c r="AY14" s="51"/>
    </row>
    <row r="15" spans="1:51" ht="15" customHeight="1" x14ac:dyDescent="0.2">
      <c r="A15" s="3"/>
      <c r="B15" s="10" t="s">
        <v>265</v>
      </c>
      <c r="X15" s="51"/>
      <c r="Z15" s="3"/>
      <c r="AF15" s="51"/>
      <c r="AG15" s="3"/>
      <c r="AM15" s="51"/>
      <c r="AN15" s="3"/>
      <c r="AY15" s="51"/>
    </row>
    <row r="16" spans="1:51" ht="15" customHeight="1" x14ac:dyDescent="0.2">
      <c r="A16" s="3"/>
      <c r="B16" s="10" t="s">
        <v>335</v>
      </c>
      <c r="X16" s="51"/>
      <c r="Z16" s="3"/>
      <c r="AF16" s="51"/>
      <c r="AG16" s="3"/>
      <c r="AM16" s="51"/>
      <c r="AN16" s="3"/>
      <c r="AY16" s="51"/>
    </row>
    <row r="17" spans="1:51" ht="15" customHeight="1" x14ac:dyDescent="0.2">
      <c r="A17" s="3"/>
      <c r="X17" s="51"/>
      <c r="Z17" s="152" t="s">
        <v>23</v>
      </c>
      <c r="AA17" s="153"/>
      <c r="AB17" s="153"/>
      <c r="AC17" s="153"/>
      <c r="AD17" s="153"/>
      <c r="AE17" s="153"/>
      <c r="AF17" s="154"/>
      <c r="AG17" s="152" t="s">
        <v>331</v>
      </c>
      <c r="AH17" s="153"/>
      <c r="AI17" s="153"/>
      <c r="AJ17" s="153"/>
      <c r="AK17" s="153"/>
      <c r="AL17" s="153"/>
      <c r="AM17" s="154"/>
      <c r="AN17" s="3"/>
      <c r="AY17" s="51"/>
    </row>
    <row r="18" spans="1:51" ht="15" customHeight="1" x14ac:dyDescent="0.2">
      <c r="A18" s="3"/>
      <c r="B18" s="10" t="s">
        <v>110</v>
      </c>
      <c r="X18" s="51"/>
      <c r="Z18" s="152"/>
      <c r="AA18" s="153"/>
      <c r="AB18" s="153"/>
      <c r="AC18" s="153"/>
      <c r="AD18" s="153"/>
      <c r="AE18" s="153"/>
      <c r="AF18" s="154"/>
      <c r="AG18" s="152"/>
      <c r="AH18" s="153"/>
      <c r="AI18" s="153"/>
      <c r="AJ18" s="153"/>
      <c r="AK18" s="153"/>
      <c r="AL18" s="153"/>
      <c r="AM18" s="154"/>
      <c r="AN18" s="3"/>
      <c r="AY18" s="51"/>
    </row>
    <row r="19" spans="1:51" ht="15" customHeight="1" x14ac:dyDescent="0.2">
      <c r="A19" s="3"/>
      <c r="B19" s="10" t="s">
        <v>356</v>
      </c>
      <c r="X19" s="51"/>
      <c r="Z19" s="60"/>
      <c r="AA19" s="67"/>
      <c r="AB19" s="67"/>
      <c r="AC19" s="67"/>
      <c r="AD19" s="67"/>
      <c r="AE19" s="67"/>
      <c r="AF19" s="71"/>
      <c r="AG19" s="3"/>
      <c r="AM19" s="51"/>
      <c r="AN19" s="3"/>
      <c r="AY19" s="51"/>
    </row>
    <row r="20" spans="1:51" ht="15" customHeight="1" x14ac:dyDescent="0.2">
      <c r="A20" s="3"/>
      <c r="B20" s="10" t="s">
        <v>114</v>
      </c>
      <c r="X20" s="51"/>
      <c r="Z20" s="60"/>
      <c r="AA20" s="67"/>
      <c r="AB20" s="67"/>
      <c r="AC20" s="67"/>
      <c r="AD20" s="67"/>
      <c r="AE20" s="67"/>
      <c r="AF20" s="71"/>
      <c r="AG20" s="3"/>
      <c r="AM20" s="51"/>
      <c r="AN20" s="3"/>
      <c r="AY20" s="51"/>
    </row>
    <row r="21" spans="1:51" ht="15" customHeight="1" x14ac:dyDescent="0.2">
      <c r="A21" s="3"/>
      <c r="B21" t="s">
        <v>323</v>
      </c>
      <c r="X21" s="51"/>
      <c r="Z21" s="3"/>
      <c r="AF21" s="51"/>
      <c r="AG21" s="3"/>
      <c r="AM21" s="51"/>
      <c r="AN21" s="3"/>
      <c r="AY21" s="51"/>
    </row>
    <row r="22" spans="1:51" ht="15" customHeight="1" x14ac:dyDescent="0.2">
      <c r="A22" s="3"/>
      <c r="B22" s="10" t="s">
        <v>113</v>
      </c>
      <c r="X22" s="51"/>
      <c r="Z22" s="3"/>
      <c r="AF22" s="51"/>
      <c r="AG22" s="3"/>
      <c r="AM22" s="51"/>
      <c r="AN22" s="3"/>
      <c r="AY22" s="51"/>
    </row>
    <row r="23" spans="1:51" ht="15" customHeight="1" x14ac:dyDescent="0.2">
      <c r="A23" s="3"/>
      <c r="B23" s="10" t="s">
        <v>115</v>
      </c>
      <c r="X23" s="51"/>
      <c r="Z23" s="3"/>
      <c r="AF23" s="51"/>
      <c r="AG23" s="3"/>
      <c r="AM23" s="51"/>
      <c r="AN23" s="3"/>
      <c r="AY23" s="51"/>
    </row>
    <row r="24" spans="1:51" ht="15" customHeight="1" x14ac:dyDescent="0.2">
      <c r="A24" s="3"/>
      <c r="X24" s="51"/>
      <c r="Z24" s="3"/>
      <c r="AF24" s="51"/>
      <c r="AG24" s="3"/>
      <c r="AM24" s="51"/>
      <c r="AN24" s="3"/>
      <c r="AY24" s="51"/>
    </row>
    <row r="25" spans="1:51" ht="15" customHeight="1" x14ac:dyDescent="0.2">
      <c r="A25" s="6"/>
      <c r="B25" s="11" t="s">
        <v>116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54"/>
      <c r="Z25" s="3"/>
      <c r="AF25" s="51"/>
      <c r="AG25" s="3"/>
      <c r="AM25" s="51"/>
      <c r="AN25" s="3"/>
      <c r="AY25" s="51"/>
    </row>
    <row r="26" spans="1:51" x14ac:dyDescent="0.2">
      <c r="A26" s="3"/>
      <c r="X26" s="51"/>
      <c r="Z26" s="7"/>
      <c r="AA26" s="20"/>
      <c r="AB26" s="20"/>
      <c r="AC26" s="20"/>
      <c r="AD26" s="20"/>
      <c r="AE26" s="20"/>
      <c r="AF26" s="57"/>
      <c r="AG26" s="7"/>
      <c r="AH26" s="20"/>
      <c r="AI26" s="20"/>
      <c r="AJ26" s="20"/>
      <c r="AK26" s="20"/>
      <c r="AL26" s="20"/>
      <c r="AM26" s="57"/>
      <c r="AN26" s="7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57"/>
    </row>
    <row r="27" spans="1:51" ht="18.600000000000001" customHeight="1" x14ac:dyDescent="0.2">
      <c r="A27" s="3"/>
      <c r="B27" s="131"/>
      <c r="C27" s="155" t="s">
        <v>0</v>
      </c>
      <c r="D27" s="120" t="s">
        <v>2</v>
      </c>
      <c r="E27" s="121"/>
      <c r="F27" s="122"/>
      <c r="G27" s="157" t="s">
        <v>26</v>
      </c>
      <c r="H27" s="158"/>
      <c r="I27" s="159"/>
      <c r="J27" s="157" t="s">
        <v>28</v>
      </c>
      <c r="K27" s="158"/>
      <c r="L27" s="158"/>
      <c r="M27" s="159"/>
      <c r="N27" s="163" t="s">
        <v>326</v>
      </c>
      <c r="O27" s="164"/>
      <c r="P27" s="165"/>
      <c r="Q27" s="44"/>
      <c r="R27" s="44"/>
      <c r="S27" s="44"/>
      <c r="T27" s="44"/>
      <c r="U27" s="44"/>
      <c r="V27" s="44"/>
      <c r="W27" s="44"/>
      <c r="X27" s="55"/>
    </row>
    <row r="28" spans="1:51" ht="44.25" customHeight="1" x14ac:dyDescent="0.2">
      <c r="A28" s="3"/>
      <c r="B28" s="155"/>
      <c r="C28" s="156"/>
      <c r="D28" s="25" t="s">
        <v>136</v>
      </c>
      <c r="E28" s="13" t="s">
        <v>9</v>
      </c>
      <c r="F28" s="13" t="s">
        <v>8</v>
      </c>
      <c r="G28" s="160"/>
      <c r="H28" s="161"/>
      <c r="I28" s="162"/>
      <c r="J28" s="160"/>
      <c r="K28" s="161"/>
      <c r="L28" s="161"/>
      <c r="M28" s="162"/>
      <c r="N28" s="166"/>
      <c r="O28" s="167"/>
      <c r="P28" s="168"/>
      <c r="Q28" s="44"/>
      <c r="R28" s="44"/>
      <c r="S28" s="44"/>
      <c r="T28" s="44"/>
      <c r="U28" s="44"/>
      <c r="V28" s="44"/>
      <c r="W28" s="44"/>
      <c r="X28" s="55"/>
      <c r="Y28" s="17"/>
      <c r="Z28" s="61" t="s">
        <v>138</v>
      </c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</row>
    <row r="29" spans="1:51" ht="34.799999999999997" customHeight="1" x14ac:dyDescent="0.2">
      <c r="A29" s="3"/>
      <c r="B29" s="14" t="s">
        <v>10</v>
      </c>
      <c r="C29" s="22"/>
      <c r="D29" s="26"/>
      <c r="E29" s="26"/>
      <c r="F29" s="26"/>
      <c r="G29" s="123"/>
      <c r="H29" s="124"/>
      <c r="I29" s="37" t="s">
        <v>135</v>
      </c>
      <c r="J29" s="123"/>
      <c r="K29" s="125"/>
      <c r="L29" s="124"/>
      <c r="M29" s="37" t="s">
        <v>135</v>
      </c>
      <c r="N29" s="123"/>
      <c r="O29" s="124"/>
      <c r="P29" s="45" t="s">
        <v>135</v>
      </c>
      <c r="Q29" s="47"/>
      <c r="R29" s="47"/>
      <c r="S29" s="47"/>
      <c r="T29" s="47"/>
      <c r="U29" s="47"/>
      <c r="V29" s="47"/>
      <c r="W29" s="47"/>
      <c r="X29" s="56" t="str">
        <f>IF(D29="","年齢未入力","")</f>
        <v>年齢未入力</v>
      </c>
      <c r="Y29" s="58" t="str">
        <f>IF(AND(計算シート!C13&lt;&gt;"",C29=""),"加入未入力",IF(OR(C29="○",C29="×"),IF(計算シート!C13="","年齢未入力",""),""))</f>
        <v/>
      </c>
      <c r="Z29" s="62" t="s">
        <v>141</v>
      </c>
      <c r="AA29" s="68" t="s">
        <v>142</v>
      </c>
      <c r="AB29" s="62" t="s">
        <v>141</v>
      </c>
      <c r="AC29" s="68" t="s">
        <v>142</v>
      </c>
      <c r="AD29" s="62" t="s">
        <v>141</v>
      </c>
      <c r="AE29" s="68" t="s">
        <v>142</v>
      </c>
      <c r="AF29" s="62" t="s">
        <v>141</v>
      </c>
      <c r="AG29" s="68" t="s">
        <v>142</v>
      </c>
      <c r="AH29" s="62" t="s">
        <v>141</v>
      </c>
      <c r="AI29" s="68" t="s">
        <v>142</v>
      </c>
      <c r="AJ29" s="62" t="s">
        <v>141</v>
      </c>
      <c r="AK29" s="68" t="s">
        <v>142</v>
      </c>
      <c r="AL29" s="62" t="s">
        <v>141</v>
      </c>
      <c r="AM29" s="68" t="s">
        <v>142</v>
      </c>
      <c r="AN29" s="62" t="s">
        <v>141</v>
      </c>
      <c r="AO29" s="68" t="s">
        <v>142</v>
      </c>
    </row>
    <row r="30" spans="1:51" ht="24.6" customHeight="1" x14ac:dyDescent="0.2">
      <c r="A30" s="3"/>
      <c r="B30" s="15" t="s">
        <v>12</v>
      </c>
      <c r="C30" s="23"/>
      <c r="D30" s="27"/>
      <c r="E30" s="27"/>
      <c r="F30" s="27"/>
      <c r="G30" s="126"/>
      <c r="H30" s="127"/>
      <c r="I30" s="38" t="s">
        <v>135</v>
      </c>
      <c r="J30" s="126"/>
      <c r="K30" s="128"/>
      <c r="L30" s="127"/>
      <c r="M30" s="38" t="s">
        <v>135</v>
      </c>
      <c r="N30" s="126"/>
      <c r="O30" s="127"/>
      <c r="P30" s="38" t="s">
        <v>135</v>
      </c>
      <c r="Q30" s="47"/>
      <c r="R30" s="47"/>
      <c r="S30" s="47"/>
      <c r="T30" s="47"/>
      <c r="U30" s="47"/>
      <c r="V30" s="47"/>
      <c r="W30" s="47"/>
      <c r="X30" s="56" t="str">
        <f>IF(D30="","年齢未入力","")</f>
        <v>年齢未入力</v>
      </c>
      <c r="Y30" s="58" t="str">
        <f>IF(AND(計算シート!C14&lt;&gt;"",C30=""),"加入未入力",IF(C30="○",IF(計算シート!C14="","年齢未入力",""),""))</f>
        <v/>
      </c>
      <c r="Z30" s="63" t="s">
        <v>143</v>
      </c>
      <c r="AA30" s="69" t="s">
        <v>112</v>
      </c>
      <c r="AB30" s="63" t="s">
        <v>162</v>
      </c>
      <c r="AC30" s="69" t="s">
        <v>59</v>
      </c>
      <c r="AD30" s="63" t="s">
        <v>210</v>
      </c>
      <c r="AE30" s="69" t="s">
        <v>212</v>
      </c>
      <c r="AF30" s="63" t="s">
        <v>155</v>
      </c>
      <c r="AG30" s="69" t="s">
        <v>109</v>
      </c>
      <c r="AH30" s="63" t="s">
        <v>271</v>
      </c>
      <c r="AI30" s="69" t="s">
        <v>16</v>
      </c>
      <c r="AJ30" s="63" t="s">
        <v>295</v>
      </c>
      <c r="AK30" s="69" t="s">
        <v>234</v>
      </c>
      <c r="AL30" s="63" t="s">
        <v>307</v>
      </c>
      <c r="AM30" s="69" t="s">
        <v>208</v>
      </c>
      <c r="AN30" s="63" t="s">
        <v>320</v>
      </c>
      <c r="AO30" s="69" t="s">
        <v>211</v>
      </c>
    </row>
    <row r="31" spans="1:51" ht="24.6" customHeight="1" x14ac:dyDescent="0.2">
      <c r="A31" s="3"/>
      <c r="B31" s="16" t="s">
        <v>14</v>
      </c>
      <c r="C31" s="23"/>
      <c r="D31" s="27"/>
      <c r="E31" s="27"/>
      <c r="F31" s="27"/>
      <c r="G31" s="129"/>
      <c r="H31" s="130"/>
      <c r="I31" s="39" t="s">
        <v>135</v>
      </c>
      <c r="J31" s="126"/>
      <c r="K31" s="128"/>
      <c r="L31" s="127"/>
      <c r="M31" s="38" t="s">
        <v>135</v>
      </c>
      <c r="N31" s="129"/>
      <c r="O31" s="130"/>
      <c r="P31" s="39" t="s">
        <v>135</v>
      </c>
      <c r="Q31" s="47"/>
      <c r="R31" s="47"/>
      <c r="S31" s="47"/>
      <c r="T31" s="47"/>
      <c r="U31" s="47"/>
      <c r="V31" s="47"/>
      <c r="W31" s="47"/>
      <c r="X31" s="56"/>
      <c r="Y31" s="58" t="str">
        <f>IF(AND(計算シート!C15&lt;&gt;"",C31=""),"加入未入力",IF(C31="○",IF(計算シート!C15="","年齢未入力",""),""))</f>
        <v/>
      </c>
      <c r="Z31" s="63" t="s">
        <v>145</v>
      </c>
      <c r="AA31" s="69" t="s">
        <v>168</v>
      </c>
      <c r="AB31" s="63" t="s">
        <v>183</v>
      </c>
      <c r="AC31" s="69" t="s">
        <v>194</v>
      </c>
      <c r="AD31" s="63" t="s">
        <v>103</v>
      </c>
      <c r="AE31" s="69" t="s">
        <v>226</v>
      </c>
      <c r="AF31" s="63" t="s">
        <v>131</v>
      </c>
      <c r="AG31" s="69" t="s">
        <v>252</v>
      </c>
      <c r="AH31" s="63" t="s">
        <v>272</v>
      </c>
      <c r="AI31" s="69" t="s">
        <v>284</v>
      </c>
      <c r="AJ31" s="63" t="s">
        <v>191</v>
      </c>
      <c r="AK31" s="69" t="s">
        <v>302</v>
      </c>
      <c r="AL31" s="63" t="s">
        <v>193</v>
      </c>
      <c r="AM31" s="69" t="s">
        <v>149</v>
      </c>
      <c r="AN31" s="63" t="s">
        <v>274</v>
      </c>
      <c r="AO31" s="69" t="s">
        <v>324</v>
      </c>
    </row>
    <row r="32" spans="1:51" ht="24.6" customHeight="1" x14ac:dyDescent="0.2">
      <c r="A32" s="3"/>
      <c r="B32" s="16" t="s">
        <v>17</v>
      </c>
      <c r="C32" s="23"/>
      <c r="D32" s="27"/>
      <c r="E32" s="27"/>
      <c r="F32" s="27"/>
      <c r="G32" s="129"/>
      <c r="H32" s="130"/>
      <c r="I32" s="39" t="s">
        <v>135</v>
      </c>
      <c r="J32" s="126"/>
      <c r="K32" s="128"/>
      <c r="L32" s="127"/>
      <c r="M32" s="39" t="s">
        <v>135</v>
      </c>
      <c r="N32" s="129"/>
      <c r="O32" s="130"/>
      <c r="P32" s="39" t="s">
        <v>135</v>
      </c>
      <c r="Q32" s="47"/>
      <c r="R32" s="47"/>
      <c r="S32" s="47"/>
      <c r="T32" s="47"/>
      <c r="U32" s="47"/>
      <c r="V32" s="47"/>
      <c r="W32" s="47"/>
      <c r="X32" s="56"/>
      <c r="Y32" s="58" t="str">
        <f>IF(AND(計算シート!C16&lt;&gt;"",C32=""),"加入未入力",IF(C32="○",IF(計算シート!C16="","年齢未入力",""),""))</f>
        <v/>
      </c>
      <c r="Z32" s="63" t="s">
        <v>146</v>
      </c>
      <c r="AA32" s="69" t="s">
        <v>169</v>
      </c>
      <c r="AB32" s="63" t="s">
        <v>184</v>
      </c>
      <c r="AC32" s="69" t="s">
        <v>196</v>
      </c>
      <c r="AD32" s="63" t="s">
        <v>215</v>
      </c>
      <c r="AE32" s="69" t="s">
        <v>227</v>
      </c>
      <c r="AF32" s="63" t="s">
        <v>239</v>
      </c>
      <c r="AG32" s="69" t="s">
        <v>225</v>
      </c>
      <c r="AH32" s="63" t="s">
        <v>273</v>
      </c>
      <c r="AI32" s="69" t="s">
        <v>286</v>
      </c>
      <c r="AJ32" s="63" t="s">
        <v>171</v>
      </c>
      <c r="AK32" s="69" t="s">
        <v>4</v>
      </c>
      <c r="AL32" s="63" t="s">
        <v>308</v>
      </c>
      <c r="AM32" s="69" t="s">
        <v>314</v>
      </c>
      <c r="AN32" s="63" t="s">
        <v>322</v>
      </c>
      <c r="AO32" s="69" t="s">
        <v>325</v>
      </c>
    </row>
    <row r="33" spans="1:41" ht="24.6" customHeight="1" x14ac:dyDescent="0.2">
      <c r="A33" s="3"/>
      <c r="B33" s="16" t="s">
        <v>11</v>
      </c>
      <c r="C33" s="23"/>
      <c r="D33" s="27"/>
      <c r="E33" s="27"/>
      <c r="F33" s="27"/>
      <c r="G33" s="129"/>
      <c r="H33" s="130"/>
      <c r="I33" s="39" t="s">
        <v>135</v>
      </c>
      <c r="J33" s="126"/>
      <c r="K33" s="128"/>
      <c r="L33" s="127"/>
      <c r="M33" s="39" t="s">
        <v>135</v>
      </c>
      <c r="N33" s="129"/>
      <c r="O33" s="130"/>
      <c r="P33" s="39" t="s">
        <v>135</v>
      </c>
      <c r="Q33" s="47"/>
      <c r="R33" s="47"/>
      <c r="S33" s="47"/>
      <c r="T33" s="47"/>
      <c r="U33" s="47"/>
      <c r="V33" s="47"/>
      <c r="W33" s="47"/>
      <c r="X33" s="56"/>
      <c r="Y33" s="58" t="str">
        <f>IF(AND(計算シート!C17&lt;&gt;"",C33=""),"加入未入力",IF(C33="○",IF(計算シート!C17="","年齢未入力",""),""))</f>
        <v/>
      </c>
      <c r="Z33" s="63" t="s">
        <v>147</v>
      </c>
      <c r="AA33" s="69" t="s">
        <v>139</v>
      </c>
      <c r="AB33" s="63" t="s">
        <v>42</v>
      </c>
      <c r="AC33" s="69" t="s">
        <v>157</v>
      </c>
      <c r="AD33" s="63" t="s">
        <v>216</v>
      </c>
      <c r="AE33" s="69" t="s">
        <v>228</v>
      </c>
      <c r="AF33" s="63" t="s">
        <v>241</v>
      </c>
      <c r="AG33" s="69" t="s">
        <v>253</v>
      </c>
      <c r="AH33" s="63" t="s">
        <v>269</v>
      </c>
      <c r="AI33" s="69" t="s">
        <v>161</v>
      </c>
      <c r="AJ33" s="63" t="s">
        <v>129</v>
      </c>
      <c r="AK33" s="69" t="s">
        <v>304</v>
      </c>
      <c r="AL33" s="63" t="s">
        <v>104</v>
      </c>
      <c r="AM33" s="69" t="s">
        <v>276</v>
      </c>
      <c r="AN33" s="63" t="s">
        <v>375</v>
      </c>
      <c r="AO33" s="69" t="s">
        <v>377</v>
      </c>
    </row>
    <row r="34" spans="1:41" ht="24.6" customHeight="1" x14ac:dyDescent="0.2">
      <c r="A34" s="3"/>
      <c r="B34" s="16" t="s">
        <v>390</v>
      </c>
      <c r="C34" s="23"/>
      <c r="D34" s="27"/>
      <c r="E34" s="27"/>
      <c r="F34" s="27"/>
      <c r="G34" s="129"/>
      <c r="H34" s="130"/>
      <c r="I34" s="39" t="s">
        <v>135</v>
      </c>
      <c r="J34" s="126"/>
      <c r="K34" s="128"/>
      <c r="L34" s="127"/>
      <c r="M34" s="39" t="s">
        <v>135</v>
      </c>
      <c r="N34" s="129"/>
      <c r="O34" s="130"/>
      <c r="P34" s="39" t="s">
        <v>135</v>
      </c>
      <c r="Q34" s="47"/>
      <c r="R34" s="47"/>
      <c r="S34" s="47"/>
      <c r="T34" s="47"/>
      <c r="U34" s="47"/>
      <c r="V34" s="47"/>
      <c r="W34" s="47"/>
      <c r="X34" s="56"/>
      <c r="Y34" s="58" t="str">
        <f>IF(AND(計算シート!C18&lt;&gt;"",C34=""),"加入未入力",IF(C34="○",IF(計算シート!C18="","年齢未入力",""),""))</f>
        <v/>
      </c>
      <c r="Z34" s="63" t="s">
        <v>150</v>
      </c>
      <c r="AA34" s="70" t="s">
        <v>170</v>
      </c>
      <c r="AB34" s="63" t="s">
        <v>117</v>
      </c>
      <c r="AC34" s="69" t="s">
        <v>198</v>
      </c>
      <c r="AD34" s="63" t="s">
        <v>153</v>
      </c>
      <c r="AE34" s="69" t="s">
        <v>90</v>
      </c>
      <c r="AF34" s="63" t="s">
        <v>242</v>
      </c>
      <c r="AG34" s="69" t="s">
        <v>256</v>
      </c>
      <c r="AH34" s="63" t="s">
        <v>165</v>
      </c>
      <c r="AI34" s="69" t="s">
        <v>287</v>
      </c>
      <c r="AJ34" s="63" t="s">
        <v>118</v>
      </c>
      <c r="AK34" s="69" t="s">
        <v>305</v>
      </c>
      <c r="AL34" s="63" t="s">
        <v>309</v>
      </c>
      <c r="AM34" s="69" t="s">
        <v>315</v>
      </c>
      <c r="AN34" s="63" t="s">
        <v>376</v>
      </c>
      <c r="AO34" s="69" t="s">
        <v>255</v>
      </c>
    </row>
    <row r="35" spans="1:41" ht="24" customHeight="1" x14ac:dyDescent="0.2">
      <c r="A35" s="3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55"/>
      <c r="Y35" s="58" t="str">
        <f>IF(OR(C34="○",C34="×"),IF(X34="年齢未入力","加入者の年齢未入力",""),"")</f>
        <v/>
      </c>
      <c r="Z35" s="63" t="s">
        <v>151</v>
      </c>
      <c r="AA35" s="69" t="s">
        <v>172</v>
      </c>
      <c r="AB35" s="63" t="s">
        <v>185</v>
      </c>
      <c r="AC35" s="69" t="s">
        <v>200</v>
      </c>
      <c r="AD35" s="63" t="s">
        <v>105</v>
      </c>
      <c r="AE35" s="69" t="s">
        <v>229</v>
      </c>
      <c r="AF35" s="63" t="s">
        <v>243</v>
      </c>
      <c r="AG35" s="69" t="s">
        <v>257</v>
      </c>
      <c r="AH35" s="63" t="s">
        <v>275</v>
      </c>
      <c r="AI35" s="69" t="s">
        <v>288</v>
      </c>
      <c r="AJ35" s="63" t="s">
        <v>296</v>
      </c>
      <c r="AK35" s="69" t="s">
        <v>270</v>
      </c>
      <c r="AL35" s="63" t="s">
        <v>293</v>
      </c>
      <c r="AM35" s="69" t="s">
        <v>316</v>
      </c>
      <c r="AN35" s="63" t="s">
        <v>374</v>
      </c>
      <c r="AO35" s="69" t="s">
        <v>21</v>
      </c>
    </row>
    <row r="36" spans="1:41" ht="24" customHeight="1" x14ac:dyDescent="0.2">
      <c r="A36" s="3"/>
      <c r="B36" s="120"/>
      <c r="C36" s="122"/>
      <c r="D36" s="131" t="s">
        <v>122</v>
      </c>
      <c r="E36" s="131"/>
      <c r="F36" s="131"/>
      <c r="G36" s="131"/>
      <c r="H36" s="120" t="s">
        <v>124</v>
      </c>
      <c r="I36" s="121"/>
      <c r="J36" s="121"/>
      <c r="K36" s="122"/>
      <c r="L36" s="120" t="s">
        <v>85</v>
      </c>
      <c r="M36" s="121"/>
      <c r="N36" s="121"/>
      <c r="O36" s="121"/>
      <c r="P36" s="122"/>
      <c r="Q36" s="120" t="s">
        <v>385</v>
      </c>
      <c r="R36" s="121"/>
      <c r="S36" s="121"/>
      <c r="T36" s="121"/>
      <c r="U36" s="122"/>
      <c r="V36" s="18"/>
      <c r="W36" s="18"/>
      <c r="X36" s="55"/>
      <c r="Y36" s="17"/>
      <c r="Z36" s="63" t="s">
        <v>164</v>
      </c>
      <c r="AA36" s="69" t="s">
        <v>173</v>
      </c>
      <c r="AB36" s="63" t="s">
        <v>86</v>
      </c>
      <c r="AC36" s="69" t="s">
        <v>201</v>
      </c>
      <c r="AD36" s="63" t="s">
        <v>219</v>
      </c>
      <c r="AE36" s="69" t="s">
        <v>230</v>
      </c>
      <c r="AF36" s="63" t="s">
        <v>245</v>
      </c>
      <c r="AG36" s="69" t="s">
        <v>258</v>
      </c>
      <c r="AH36" s="63" t="s">
        <v>277</v>
      </c>
      <c r="AI36" s="69" t="s">
        <v>289</v>
      </c>
      <c r="AJ36" s="63" t="s">
        <v>298</v>
      </c>
      <c r="AK36" s="69" t="s">
        <v>174</v>
      </c>
      <c r="AL36" s="63" t="s">
        <v>310</v>
      </c>
      <c r="AM36" s="69" t="s">
        <v>311</v>
      </c>
      <c r="AN36" s="72" t="s">
        <v>6</v>
      </c>
      <c r="AO36" s="73" t="s">
        <v>65</v>
      </c>
    </row>
    <row r="37" spans="1:41" ht="24" customHeight="1" x14ac:dyDescent="0.2">
      <c r="A37" s="3"/>
      <c r="B37" s="120" t="s">
        <v>126</v>
      </c>
      <c r="C37" s="122"/>
      <c r="D37" s="132">
        <f>計算シート!B59</f>
        <v>0</v>
      </c>
      <c r="E37" s="133"/>
      <c r="F37" s="133"/>
      <c r="G37" s="24" t="s">
        <v>135</v>
      </c>
      <c r="H37" s="132">
        <f>計算シート!E59</f>
        <v>0</v>
      </c>
      <c r="I37" s="134"/>
      <c r="J37" s="134"/>
      <c r="K37" s="42" t="s">
        <v>135</v>
      </c>
      <c r="L37" s="132">
        <f>計算シート!H59</f>
        <v>0</v>
      </c>
      <c r="M37" s="133"/>
      <c r="N37" s="133"/>
      <c r="O37" s="133"/>
      <c r="P37" s="46" t="s">
        <v>135</v>
      </c>
      <c r="Q37" s="132">
        <f>計算シート!K59</f>
        <v>0</v>
      </c>
      <c r="R37" s="133"/>
      <c r="S37" s="133"/>
      <c r="T37" s="133"/>
      <c r="U37" s="46" t="s">
        <v>135</v>
      </c>
      <c r="V37" s="47"/>
      <c r="W37" s="47"/>
      <c r="X37" s="55"/>
      <c r="Y37" s="17"/>
      <c r="Z37" s="63" t="s">
        <v>166</v>
      </c>
      <c r="AA37" s="69" t="s">
        <v>175</v>
      </c>
      <c r="AB37" s="63" t="s">
        <v>187</v>
      </c>
      <c r="AC37" s="69" t="s">
        <v>186</v>
      </c>
      <c r="AD37" s="63" t="s">
        <v>44</v>
      </c>
      <c r="AE37" s="69" t="s">
        <v>232</v>
      </c>
      <c r="AF37" s="63" t="s">
        <v>246</v>
      </c>
      <c r="AG37" s="69" t="s">
        <v>259</v>
      </c>
      <c r="AH37" s="63" t="s">
        <v>278</v>
      </c>
      <c r="AI37" s="69" t="s">
        <v>125</v>
      </c>
      <c r="AJ37" s="63" t="s">
        <v>48</v>
      </c>
      <c r="AK37" s="69" t="s">
        <v>282</v>
      </c>
      <c r="AL37" s="63" t="s">
        <v>285</v>
      </c>
      <c r="AM37" s="69" t="s">
        <v>303</v>
      </c>
      <c r="AN37" s="17"/>
      <c r="AO37" s="17"/>
    </row>
    <row r="38" spans="1:41" ht="24" customHeight="1" x14ac:dyDescent="0.2">
      <c r="A38" s="3"/>
      <c r="B38" s="120" t="s">
        <v>100</v>
      </c>
      <c r="C38" s="122"/>
      <c r="D38" s="132">
        <f>計算シート!C59</f>
        <v>0</v>
      </c>
      <c r="E38" s="133"/>
      <c r="F38" s="133"/>
      <c r="G38" s="24" t="s">
        <v>135</v>
      </c>
      <c r="H38" s="132">
        <f>計算シート!F59</f>
        <v>0</v>
      </c>
      <c r="I38" s="133"/>
      <c r="J38" s="133"/>
      <c r="K38" s="42" t="s">
        <v>135</v>
      </c>
      <c r="L38" s="132">
        <f>計算シート!I59</f>
        <v>0</v>
      </c>
      <c r="M38" s="133"/>
      <c r="N38" s="133"/>
      <c r="O38" s="133"/>
      <c r="P38" s="46" t="s">
        <v>135</v>
      </c>
      <c r="Q38" s="132">
        <f>計算シート!L59</f>
        <v>0</v>
      </c>
      <c r="R38" s="133"/>
      <c r="S38" s="133"/>
      <c r="T38" s="133"/>
      <c r="U38" s="46" t="s">
        <v>135</v>
      </c>
      <c r="V38" s="47"/>
      <c r="W38" s="47"/>
      <c r="X38" s="55"/>
      <c r="Y38" s="17"/>
      <c r="Z38" s="63" t="s">
        <v>152</v>
      </c>
      <c r="AA38" s="69" t="s">
        <v>176</v>
      </c>
      <c r="AB38" s="63" t="s">
        <v>188</v>
      </c>
      <c r="AC38" s="69" t="s">
        <v>202</v>
      </c>
      <c r="AD38" s="63" t="s">
        <v>167</v>
      </c>
      <c r="AE38" s="69" t="s">
        <v>233</v>
      </c>
      <c r="AF38" s="63" t="s">
        <v>197</v>
      </c>
      <c r="AG38" s="69" t="s">
        <v>260</v>
      </c>
      <c r="AH38" s="63" t="s">
        <v>279</v>
      </c>
      <c r="AI38" s="69" t="s">
        <v>290</v>
      </c>
      <c r="AJ38" s="63" t="s">
        <v>299</v>
      </c>
      <c r="AK38" s="69" t="s">
        <v>195</v>
      </c>
      <c r="AL38" s="63" t="s">
        <v>119</v>
      </c>
      <c r="AM38" s="69" t="s">
        <v>120</v>
      </c>
      <c r="AN38" s="17"/>
      <c r="AO38" s="17"/>
    </row>
    <row r="39" spans="1:41" ht="24" customHeight="1" x14ac:dyDescent="0.2">
      <c r="A39" s="3"/>
      <c r="B39" s="120" t="s">
        <v>127</v>
      </c>
      <c r="C39" s="122"/>
      <c r="D39" s="132">
        <f>計算シート!D59</f>
        <v>0</v>
      </c>
      <c r="E39" s="133"/>
      <c r="F39" s="133"/>
      <c r="G39" s="24" t="s">
        <v>135</v>
      </c>
      <c r="H39" s="132">
        <f>計算シート!G59</f>
        <v>0</v>
      </c>
      <c r="I39" s="133"/>
      <c r="J39" s="133"/>
      <c r="K39" s="42" t="s">
        <v>135</v>
      </c>
      <c r="L39" s="132">
        <f>計算シート!J59</f>
        <v>0</v>
      </c>
      <c r="M39" s="133"/>
      <c r="N39" s="133"/>
      <c r="O39" s="133"/>
      <c r="P39" s="46" t="s">
        <v>135</v>
      </c>
      <c r="Q39" s="132">
        <f>計算シート!M59</f>
        <v>0</v>
      </c>
      <c r="R39" s="133"/>
      <c r="S39" s="133"/>
      <c r="T39" s="133"/>
      <c r="U39" s="46" t="s">
        <v>135</v>
      </c>
      <c r="V39" s="47"/>
      <c r="W39" s="47"/>
      <c r="X39" s="55"/>
      <c r="Y39" s="17"/>
      <c r="Z39" s="63" t="s">
        <v>154</v>
      </c>
      <c r="AA39" s="69" t="s">
        <v>177</v>
      </c>
      <c r="AB39" s="63" t="s">
        <v>189</v>
      </c>
      <c r="AC39" s="69" t="s">
        <v>203</v>
      </c>
      <c r="AD39" s="63" t="s">
        <v>220</v>
      </c>
      <c r="AE39" s="69" t="s">
        <v>235</v>
      </c>
      <c r="AF39" s="63" t="s">
        <v>148</v>
      </c>
      <c r="AG39" s="69" t="s">
        <v>261</v>
      </c>
      <c r="AH39" s="63" t="s">
        <v>280</v>
      </c>
      <c r="AI39" s="69" t="s">
        <v>68</v>
      </c>
      <c r="AJ39" s="63" t="s">
        <v>163</v>
      </c>
      <c r="AK39" s="69" t="s">
        <v>292</v>
      </c>
      <c r="AL39" s="63" t="s">
        <v>312</v>
      </c>
      <c r="AM39" s="69" t="s">
        <v>317</v>
      </c>
      <c r="AN39" s="17"/>
      <c r="AO39" s="17"/>
    </row>
    <row r="40" spans="1:41" ht="24" customHeight="1" x14ac:dyDescent="0.2">
      <c r="A40" s="3"/>
      <c r="B40" s="120" t="s">
        <v>62</v>
      </c>
      <c r="C40" s="122"/>
      <c r="D40" s="132">
        <f>IF(D41=0,0,計算シート!B60)</f>
        <v>0</v>
      </c>
      <c r="E40" s="133"/>
      <c r="F40" s="133"/>
      <c r="G40" s="24" t="s">
        <v>135</v>
      </c>
      <c r="H40" s="132">
        <f>IF(H41=0,0,計算シート!E60)</f>
        <v>0</v>
      </c>
      <c r="I40" s="133"/>
      <c r="J40" s="133"/>
      <c r="K40" s="42" t="s">
        <v>135</v>
      </c>
      <c r="L40" s="132">
        <f>IF(L41=0,0,計算シート!H60)</f>
        <v>0</v>
      </c>
      <c r="M40" s="133"/>
      <c r="N40" s="133"/>
      <c r="O40" s="133"/>
      <c r="P40" s="46" t="s">
        <v>135</v>
      </c>
      <c r="Q40" s="132">
        <f>IF(Q41=0,0,計算シート!K60)</f>
        <v>0</v>
      </c>
      <c r="R40" s="133"/>
      <c r="S40" s="133"/>
      <c r="T40" s="133"/>
      <c r="U40" s="46" t="s">
        <v>135</v>
      </c>
      <c r="V40" s="47"/>
      <c r="W40" s="47"/>
      <c r="X40" s="55"/>
      <c r="Y40" s="17"/>
      <c r="Z40" s="63" t="s">
        <v>45</v>
      </c>
      <c r="AA40" s="69" t="s">
        <v>179</v>
      </c>
      <c r="AB40" s="63" t="s">
        <v>190</v>
      </c>
      <c r="AC40" s="69" t="s">
        <v>204</v>
      </c>
      <c r="AD40" s="63" t="s">
        <v>182</v>
      </c>
      <c r="AE40" s="69" t="s">
        <v>236</v>
      </c>
      <c r="AF40" s="63" t="s">
        <v>248</v>
      </c>
      <c r="AG40" s="69" t="s">
        <v>262</v>
      </c>
      <c r="AH40" s="63" t="s">
        <v>213</v>
      </c>
      <c r="AI40" s="70" t="s">
        <v>291</v>
      </c>
      <c r="AJ40" s="63" t="s">
        <v>3</v>
      </c>
      <c r="AK40" s="69" t="s">
        <v>92</v>
      </c>
      <c r="AL40" s="63" t="s">
        <v>313</v>
      </c>
      <c r="AM40" s="69" t="s">
        <v>240</v>
      </c>
      <c r="AN40" s="17"/>
      <c r="AO40" s="17"/>
    </row>
    <row r="41" spans="1:41" ht="24" customHeight="1" x14ac:dyDescent="0.2">
      <c r="A41" s="3"/>
      <c r="B41" s="120" t="s">
        <v>84</v>
      </c>
      <c r="C41" s="122"/>
      <c r="D41" s="135">
        <f>計算シート!B61</f>
        <v>0</v>
      </c>
      <c r="E41" s="136"/>
      <c r="F41" s="136"/>
      <c r="G41" s="24" t="s">
        <v>135</v>
      </c>
      <c r="H41" s="135">
        <f>計算シート!E61</f>
        <v>0</v>
      </c>
      <c r="I41" s="136"/>
      <c r="J41" s="136"/>
      <c r="K41" s="42" t="s">
        <v>135</v>
      </c>
      <c r="L41" s="135">
        <f>計算シート!H61</f>
        <v>0</v>
      </c>
      <c r="M41" s="136"/>
      <c r="N41" s="136"/>
      <c r="O41" s="136"/>
      <c r="P41" s="46" t="s">
        <v>135</v>
      </c>
      <c r="Q41" s="135">
        <f>計算シート!K61</f>
        <v>0</v>
      </c>
      <c r="R41" s="136"/>
      <c r="S41" s="136"/>
      <c r="T41" s="136"/>
      <c r="U41" s="46" t="s">
        <v>135</v>
      </c>
      <c r="V41" s="47"/>
      <c r="W41" s="47"/>
      <c r="X41" s="55"/>
      <c r="Y41" s="17"/>
      <c r="Z41" s="63" t="s">
        <v>156</v>
      </c>
      <c r="AA41" s="69" t="s">
        <v>140</v>
      </c>
      <c r="AB41" s="63" t="s">
        <v>192</v>
      </c>
      <c r="AC41" s="69" t="s">
        <v>206</v>
      </c>
      <c r="AD41" s="63" t="s">
        <v>221</v>
      </c>
      <c r="AE41" s="69" t="s">
        <v>87</v>
      </c>
      <c r="AF41" s="63" t="s">
        <v>249</v>
      </c>
      <c r="AG41" s="69" t="s">
        <v>263</v>
      </c>
      <c r="AH41" s="63" t="s">
        <v>281</v>
      </c>
      <c r="AI41" s="70" t="s">
        <v>294</v>
      </c>
      <c r="AJ41" s="63" t="s">
        <v>300</v>
      </c>
      <c r="AK41" s="69" t="s">
        <v>306</v>
      </c>
      <c r="AL41" s="63" t="s">
        <v>132</v>
      </c>
      <c r="AM41" s="69" t="s">
        <v>50</v>
      </c>
      <c r="AN41" s="17"/>
      <c r="AO41" s="17"/>
    </row>
    <row r="42" spans="1:41" ht="7.2" customHeight="1" x14ac:dyDescent="0.2">
      <c r="A42" s="3"/>
      <c r="B42" s="18"/>
      <c r="C42" s="18"/>
      <c r="D42" s="28"/>
      <c r="E42" s="32"/>
      <c r="F42" s="28"/>
      <c r="G42" s="35"/>
      <c r="H42" s="32"/>
      <c r="I42" s="32"/>
      <c r="J42" s="28"/>
      <c r="K42" s="28"/>
      <c r="L42" s="28"/>
      <c r="M42" s="28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55"/>
      <c r="Y42" s="17"/>
      <c r="Z42" s="169" t="s">
        <v>158</v>
      </c>
      <c r="AA42" s="171" t="s">
        <v>180</v>
      </c>
      <c r="AB42" s="169" t="s">
        <v>123</v>
      </c>
      <c r="AC42" s="171" t="s">
        <v>52</v>
      </c>
      <c r="AD42" s="169" t="s">
        <v>222</v>
      </c>
      <c r="AE42" s="171" t="s">
        <v>238</v>
      </c>
      <c r="AF42" s="169" t="s">
        <v>250</v>
      </c>
      <c r="AG42" s="171" t="s">
        <v>266</v>
      </c>
      <c r="AH42" s="169" t="s">
        <v>264</v>
      </c>
      <c r="AI42" s="171" t="s">
        <v>207</v>
      </c>
      <c r="AJ42" s="169" t="s">
        <v>99</v>
      </c>
      <c r="AK42" s="171" t="s">
        <v>244</v>
      </c>
      <c r="AL42" s="169" t="s">
        <v>18</v>
      </c>
      <c r="AM42" s="171" t="s">
        <v>319</v>
      </c>
      <c r="AN42" s="17"/>
      <c r="AO42" s="17"/>
    </row>
    <row r="43" spans="1:41" ht="16.8" customHeight="1" x14ac:dyDescent="0.2">
      <c r="A43" s="3"/>
      <c r="B43" s="19"/>
      <c r="C43" s="19"/>
      <c r="D43" s="29"/>
      <c r="E43" s="33"/>
      <c r="F43" s="29"/>
      <c r="G43" s="19"/>
      <c r="H43" s="33"/>
      <c r="I43" s="173" t="s">
        <v>133</v>
      </c>
      <c r="J43" s="173"/>
      <c r="K43" s="173"/>
      <c r="L43" s="174" t="str">
        <f>IF(D41=0,"",IF(計算シート!G25=7,"7割軽減",IF(計算シート!G25=5,"5割軽減",IF(計算シート!G25=2,"2割軽減","該当なし"))))</f>
        <v/>
      </c>
      <c r="M43" s="174"/>
      <c r="N43" s="174"/>
      <c r="O43" s="174"/>
      <c r="P43" s="174"/>
      <c r="Q43" s="48"/>
      <c r="R43" s="48"/>
      <c r="S43" s="48"/>
      <c r="T43" s="48"/>
      <c r="U43" s="48"/>
      <c r="V43" s="48"/>
      <c r="W43" s="48"/>
      <c r="X43" s="55"/>
      <c r="Y43" s="17"/>
      <c r="Z43" s="170"/>
      <c r="AA43" s="172"/>
      <c r="AB43" s="170"/>
      <c r="AC43" s="172"/>
      <c r="AD43" s="170"/>
      <c r="AE43" s="172"/>
      <c r="AF43" s="170"/>
      <c r="AG43" s="172"/>
      <c r="AH43" s="170"/>
      <c r="AI43" s="172"/>
      <c r="AJ43" s="170"/>
      <c r="AK43" s="172"/>
      <c r="AL43" s="170"/>
      <c r="AM43" s="172"/>
      <c r="AN43" s="17"/>
      <c r="AO43" s="17"/>
    </row>
    <row r="44" spans="1:41" ht="7.2" customHeight="1" x14ac:dyDescent="0.2">
      <c r="A44" s="3"/>
      <c r="B44" s="18"/>
      <c r="C44" s="18"/>
      <c r="D44" s="28"/>
      <c r="E44" s="32"/>
      <c r="F44" s="28"/>
      <c r="G44" s="32"/>
      <c r="H44" s="32"/>
      <c r="I44" s="173"/>
      <c r="J44" s="173"/>
      <c r="K44" s="173"/>
      <c r="L44" s="174"/>
      <c r="M44" s="174"/>
      <c r="N44" s="174"/>
      <c r="O44" s="174"/>
      <c r="P44" s="174"/>
      <c r="Q44" s="48"/>
      <c r="R44" s="48"/>
      <c r="S44" s="48"/>
      <c r="T44" s="48"/>
      <c r="U44" s="48"/>
      <c r="V44" s="48"/>
      <c r="W44" s="48"/>
      <c r="X44" s="55"/>
      <c r="Y44" s="17"/>
      <c r="Z44" s="175" t="s">
        <v>160</v>
      </c>
      <c r="AA44" s="177" t="s">
        <v>181</v>
      </c>
      <c r="AB44" s="175" t="s">
        <v>79</v>
      </c>
      <c r="AC44" s="177" t="s">
        <v>209</v>
      </c>
      <c r="AD44" s="175" t="s">
        <v>224</v>
      </c>
      <c r="AE44" s="177" t="s">
        <v>19</v>
      </c>
      <c r="AF44" s="175" t="s">
        <v>251</v>
      </c>
      <c r="AG44" s="177" t="s">
        <v>268</v>
      </c>
      <c r="AH44" s="175" t="s">
        <v>178</v>
      </c>
      <c r="AI44" s="177" t="s">
        <v>217</v>
      </c>
      <c r="AJ44" s="175" t="s">
        <v>301</v>
      </c>
      <c r="AK44" s="177" t="s">
        <v>297</v>
      </c>
      <c r="AL44" s="175" t="s">
        <v>218</v>
      </c>
      <c r="AM44" s="179" t="s">
        <v>121</v>
      </c>
      <c r="AN44" s="17"/>
      <c r="AO44" s="17"/>
    </row>
    <row r="45" spans="1:41" ht="18.600000000000001" customHeight="1" x14ac:dyDescent="0.2">
      <c r="A45" s="3"/>
      <c r="B45" s="18"/>
      <c r="C45" s="18"/>
      <c r="D45" s="28"/>
      <c r="E45" s="32"/>
      <c r="F45" s="28"/>
      <c r="G45" s="32"/>
      <c r="H45" s="32"/>
      <c r="I45" s="40"/>
      <c r="J45" s="40"/>
      <c r="K45" s="40"/>
      <c r="L45" s="43"/>
      <c r="M45" s="43"/>
      <c r="N45" s="43"/>
      <c r="O45" s="43"/>
      <c r="P45" s="43"/>
      <c r="Q45" s="49"/>
      <c r="R45" s="49"/>
      <c r="S45" s="49"/>
      <c r="T45" s="49"/>
      <c r="U45" s="49"/>
      <c r="V45" s="49"/>
      <c r="W45" s="49"/>
      <c r="X45" s="55"/>
      <c r="Y45" s="17"/>
      <c r="Z45" s="176"/>
      <c r="AA45" s="178"/>
      <c r="AB45" s="176"/>
      <c r="AC45" s="178"/>
      <c r="AD45" s="176"/>
      <c r="AE45" s="178"/>
      <c r="AF45" s="176"/>
      <c r="AG45" s="178"/>
      <c r="AH45" s="176"/>
      <c r="AI45" s="178"/>
      <c r="AJ45" s="176"/>
      <c r="AK45" s="178"/>
      <c r="AL45" s="176"/>
      <c r="AM45" s="180"/>
      <c r="AN45" s="17"/>
      <c r="AO45" s="17"/>
    </row>
    <row r="46" spans="1:41" ht="4.8" customHeight="1" x14ac:dyDescent="0.2">
      <c r="A46" s="3"/>
      <c r="X46" s="51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</row>
    <row r="47" spans="1:41" ht="33" customHeight="1" x14ac:dyDescent="0.2">
      <c r="A47" s="3"/>
      <c r="D47" s="137" t="s">
        <v>128</v>
      </c>
      <c r="E47" s="137"/>
      <c r="F47" s="137"/>
      <c r="G47" s="137"/>
      <c r="H47" s="138">
        <f>計算シート!B64</f>
        <v>0</v>
      </c>
      <c r="I47" s="138"/>
      <c r="J47" s="139"/>
      <c r="K47" s="140" t="s">
        <v>135</v>
      </c>
      <c r="L47" s="141"/>
      <c r="M47" s="10" t="s">
        <v>130</v>
      </c>
      <c r="X47" s="51"/>
      <c r="Z47" s="64" t="s">
        <v>368</v>
      </c>
    </row>
    <row r="48" spans="1:41" ht="9" customHeight="1" x14ac:dyDescent="0.2">
      <c r="A48" s="3"/>
      <c r="D48" s="30"/>
      <c r="E48" s="34"/>
      <c r="F48" s="34"/>
      <c r="G48" s="36"/>
      <c r="H48" s="36"/>
      <c r="I48" s="36"/>
      <c r="J48" s="41"/>
      <c r="X48" s="51"/>
      <c r="Z48" s="65" t="s">
        <v>159</v>
      </c>
      <c r="AA48" s="65" t="s">
        <v>358</v>
      </c>
      <c r="AB48" s="65" t="s">
        <v>223</v>
      </c>
      <c r="AC48" s="65" t="s">
        <v>359</v>
      </c>
      <c r="AD48" s="65" t="s">
        <v>360</v>
      </c>
      <c r="AE48" s="65" t="s">
        <v>37</v>
      </c>
      <c r="AF48" s="65" t="s">
        <v>361</v>
      </c>
      <c r="AG48" s="65" t="s">
        <v>362</v>
      </c>
      <c r="AH48" s="65" t="s">
        <v>363</v>
      </c>
      <c r="AI48" s="65" t="s">
        <v>364</v>
      </c>
    </row>
    <row r="49" spans="1:35" ht="22.8" customHeight="1" x14ac:dyDescent="0.2">
      <c r="A49" s="3"/>
      <c r="D49" s="142" t="s">
        <v>57</v>
      </c>
      <c r="E49" s="142"/>
      <c r="F49" s="31" t="s">
        <v>365</v>
      </c>
      <c r="G49" s="143"/>
      <c r="H49" s="143"/>
      <c r="I49" s="143"/>
      <c r="J49" s="31" t="s">
        <v>357</v>
      </c>
      <c r="K49" s="144" t="s">
        <v>381</v>
      </c>
      <c r="L49" s="145"/>
      <c r="M49" s="145"/>
      <c r="N49" s="146"/>
      <c r="X49" s="51"/>
      <c r="Z49" s="66">
        <f>H47-SUM(AA49:AI49)</f>
        <v>0</v>
      </c>
      <c r="AA49" s="66">
        <f t="shared" ref="AA49:AI49" si="0">ROUNDDOWN($H$47/10,-2)</f>
        <v>0</v>
      </c>
      <c r="AB49" s="66">
        <f t="shared" si="0"/>
        <v>0</v>
      </c>
      <c r="AC49" s="66">
        <f t="shared" si="0"/>
        <v>0</v>
      </c>
      <c r="AD49" s="66">
        <f t="shared" si="0"/>
        <v>0</v>
      </c>
      <c r="AE49" s="66">
        <f t="shared" si="0"/>
        <v>0</v>
      </c>
      <c r="AF49" s="66">
        <f t="shared" si="0"/>
        <v>0</v>
      </c>
      <c r="AG49" s="66">
        <f t="shared" si="0"/>
        <v>0</v>
      </c>
      <c r="AH49" s="66">
        <f t="shared" si="0"/>
        <v>0</v>
      </c>
      <c r="AI49" s="66">
        <f t="shared" si="0"/>
        <v>0</v>
      </c>
    </row>
    <row r="50" spans="1:35" ht="9" customHeight="1" x14ac:dyDescent="0.2">
      <c r="A50" s="3"/>
      <c r="X50" s="51"/>
    </row>
    <row r="51" spans="1:35" ht="33" customHeight="1" x14ac:dyDescent="0.2">
      <c r="A51" s="3"/>
      <c r="D51" s="147" t="s">
        <v>367</v>
      </c>
      <c r="E51" s="148"/>
      <c r="F51" s="148"/>
      <c r="G51" s="148"/>
      <c r="H51" s="138">
        <f>IF(G49="",H47,VLOOKUP(G49,計算シート!I1:J12,2))</f>
        <v>0</v>
      </c>
      <c r="I51" s="138"/>
      <c r="J51" s="139"/>
      <c r="K51" s="148" t="s">
        <v>135</v>
      </c>
      <c r="L51" s="140"/>
      <c r="M51" s="10" t="s">
        <v>130</v>
      </c>
      <c r="X51" s="51"/>
    </row>
    <row r="52" spans="1:35" ht="9.6" customHeight="1" x14ac:dyDescent="0.2">
      <c r="A52" s="7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57"/>
    </row>
    <row r="53" spans="1:35" ht="18.600000000000001" customHeight="1" x14ac:dyDescent="0.2"/>
  </sheetData>
  <sheetProtection algorithmName="SHA-512" hashValue="itAc7TYJYfCArWtqY+ZyUKnVPGWBStT+VnTGO1pt/roLFfiZBn/uVUcC3nrJecFqmo8yfZmCc9qqcwlpu808kg==" saltValue="/KitFw1m0I67Beh1YqwZhQ==" spinCount="100000" sheet="1" objects="1" scenarios="1"/>
  <mergeCells count="100">
    <mergeCell ref="AK44:AK45"/>
    <mergeCell ref="AL44:AL45"/>
    <mergeCell ref="AM44:AM45"/>
    <mergeCell ref="AK42:AK43"/>
    <mergeCell ref="AL42:AL43"/>
    <mergeCell ref="AM42:AM43"/>
    <mergeCell ref="I43:K44"/>
    <mergeCell ref="L43:P44"/>
    <mergeCell ref="Z44:Z45"/>
    <mergeCell ref="AA44:AA45"/>
    <mergeCell ref="AB44:AB45"/>
    <mergeCell ref="AC44:AC45"/>
    <mergeCell ref="AD44:AD45"/>
    <mergeCell ref="AE44:AE45"/>
    <mergeCell ref="AF44:AF45"/>
    <mergeCell ref="AG44:AG45"/>
    <mergeCell ref="AH44:AH45"/>
    <mergeCell ref="AI44:AI45"/>
    <mergeCell ref="AJ44:AJ45"/>
    <mergeCell ref="AN2:AY6"/>
    <mergeCell ref="Z17:AF18"/>
    <mergeCell ref="AG17:AM18"/>
    <mergeCell ref="B27:B28"/>
    <mergeCell ref="C27:C28"/>
    <mergeCell ref="G27:I28"/>
    <mergeCell ref="J27:M28"/>
    <mergeCell ref="N27:P28"/>
    <mergeCell ref="D51:G51"/>
    <mergeCell ref="H51:J51"/>
    <mergeCell ref="K51:L51"/>
    <mergeCell ref="Z2:AF6"/>
    <mergeCell ref="AG2:AM6"/>
    <mergeCell ref="Z42:Z43"/>
    <mergeCell ref="AA42:AA43"/>
    <mergeCell ref="AB42:AB43"/>
    <mergeCell ref="AC42:AC43"/>
    <mergeCell ref="AD42:AD43"/>
    <mergeCell ref="AE42:AE43"/>
    <mergeCell ref="AF42:AF43"/>
    <mergeCell ref="AG42:AG43"/>
    <mergeCell ref="AH42:AH43"/>
    <mergeCell ref="AI42:AI43"/>
    <mergeCell ref="AJ42:AJ43"/>
    <mergeCell ref="D47:G47"/>
    <mergeCell ref="H47:J47"/>
    <mergeCell ref="K47:L47"/>
    <mergeCell ref="D49:E49"/>
    <mergeCell ref="G49:I49"/>
    <mergeCell ref="K49:N49"/>
    <mergeCell ref="B41:C41"/>
    <mergeCell ref="D41:F41"/>
    <mergeCell ref="H41:J41"/>
    <mergeCell ref="L41:O41"/>
    <mergeCell ref="Q41:T41"/>
    <mergeCell ref="B40:C40"/>
    <mergeCell ref="D40:F40"/>
    <mergeCell ref="H40:J40"/>
    <mergeCell ref="L40:O40"/>
    <mergeCell ref="Q40:T40"/>
    <mergeCell ref="B39:C39"/>
    <mergeCell ref="D39:F39"/>
    <mergeCell ref="H39:J39"/>
    <mergeCell ref="L39:O39"/>
    <mergeCell ref="Q39:T39"/>
    <mergeCell ref="B38:C38"/>
    <mergeCell ref="D38:F38"/>
    <mergeCell ref="H38:J38"/>
    <mergeCell ref="L38:O38"/>
    <mergeCell ref="Q38:T38"/>
    <mergeCell ref="Q36:U36"/>
    <mergeCell ref="B37:C37"/>
    <mergeCell ref="D37:F37"/>
    <mergeCell ref="H37:J37"/>
    <mergeCell ref="L37:O37"/>
    <mergeCell ref="Q37:T37"/>
    <mergeCell ref="G34:H34"/>
    <mergeCell ref="J34:L34"/>
    <mergeCell ref="N34:O34"/>
    <mergeCell ref="B36:C36"/>
    <mergeCell ref="D36:G36"/>
    <mergeCell ref="H36:K36"/>
    <mergeCell ref="L36:P36"/>
    <mergeCell ref="G32:H32"/>
    <mergeCell ref="J32:L32"/>
    <mergeCell ref="N32:O32"/>
    <mergeCell ref="G33:H33"/>
    <mergeCell ref="J33:L33"/>
    <mergeCell ref="N33:O33"/>
    <mergeCell ref="G30:H30"/>
    <mergeCell ref="J30:L30"/>
    <mergeCell ref="N30:O30"/>
    <mergeCell ref="G31:H31"/>
    <mergeCell ref="J31:L31"/>
    <mergeCell ref="N31:O31"/>
    <mergeCell ref="B1:P1"/>
    <mergeCell ref="N2:X2"/>
    <mergeCell ref="D27:F27"/>
    <mergeCell ref="G29:H29"/>
    <mergeCell ref="J29:L29"/>
    <mergeCell ref="N29:O29"/>
  </mergeCells>
  <phoneticPr fontId="1" type="Hiragana"/>
  <dataValidations count="5">
    <dataValidation type="whole" allowBlank="1" showInputMessage="1" showErrorMessage="1" sqref="D30:D34" xr:uid="{00000000-0002-0000-0000-000000000000}">
      <formula1>1946</formula1>
      <formula2>2022</formula2>
    </dataValidation>
    <dataValidation type="whole" allowBlank="1" showInputMessage="1" showErrorMessage="1" sqref="E29:E34" xr:uid="{00000000-0002-0000-0000-000001000000}">
      <formula1>1</formula1>
      <formula2>12</formula2>
    </dataValidation>
    <dataValidation type="whole" allowBlank="1" showInputMessage="1" showErrorMessage="1" sqref="F29:F34" xr:uid="{00000000-0002-0000-0000-000002000000}">
      <formula1>1</formula1>
      <formula2>31</formula2>
    </dataValidation>
    <dataValidation type="whole" allowBlank="1" showInputMessage="1" showErrorMessage="1" sqref="N29:O34 G29:H34 J29:L34" xr:uid="{00000000-0002-0000-0000-000003000000}">
      <formula1>0</formula1>
      <formula2>999999999</formula2>
    </dataValidation>
    <dataValidation type="whole" allowBlank="1" showInputMessage="1" showErrorMessage="1" sqref="D29" xr:uid="{00000000-0002-0000-0000-000004000000}">
      <formula1>1922</formula1>
      <formula2>2022</formula2>
    </dataValidation>
  </dataValidations>
  <pageMargins left="0.59055118110236215" right="0.39370078740157483" top="0.55314960629921262" bottom="0.35629921259842523" header="0.3" footer="0.3"/>
  <pageSetup paperSize="9" scale="6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計算シート!$H$1:$H$2</xm:f>
          </x14:formula1>
          <xm:sqref>C29</xm:sqref>
        </x14:dataValidation>
        <x14:dataValidation type="list" allowBlank="1" showInputMessage="1" showErrorMessage="1" xr:uid="{00000000-0002-0000-0000-000006000000}">
          <x14:formula1>
            <xm:f>計算シート!$H$1</xm:f>
          </x14:formula1>
          <xm:sqref>C30:C34</xm:sqref>
        </x14:dataValidation>
        <x14:dataValidation type="list" allowBlank="1" showInputMessage="1" showErrorMessage="1" xr:uid="{00000000-0002-0000-0000-000007000000}">
          <x14:formula1>
            <xm:f>計算シート!$I$1:$I$12</xm:f>
          </x14:formula1>
          <xm:sqref>G49:I49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71"/>
  <sheetViews>
    <sheetView workbookViewId="0">
      <selection activeCell="I7" sqref="I7"/>
    </sheetView>
  </sheetViews>
  <sheetFormatPr defaultRowHeight="13.2" x14ac:dyDescent="0.2"/>
  <cols>
    <col min="1" max="2" width="13.5546875" customWidth="1"/>
    <col min="3" max="3" width="15" customWidth="1"/>
    <col min="4" max="13" width="13.5546875" customWidth="1"/>
    <col min="16" max="16" width="10.6640625" bestFit="1" customWidth="1"/>
    <col min="17" max="17" width="3.6640625" style="74" customWidth="1"/>
    <col min="18" max="18" width="10.6640625" bestFit="1" customWidth="1"/>
    <col min="19" max="19" width="10.44140625" customWidth="1"/>
    <col min="20" max="20" width="9.33203125" bestFit="1" customWidth="1"/>
    <col min="28" max="39" width="11.77734375" customWidth="1"/>
  </cols>
  <sheetData>
    <row r="1" spans="1:40" x14ac:dyDescent="0.2">
      <c r="A1" s="142" t="s">
        <v>56</v>
      </c>
      <c r="B1" s="142" t="s">
        <v>25</v>
      </c>
      <c r="C1" s="142" t="s">
        <v>49</v>
      </c>
      <c r="D1" s="142" t="s">
        <v>27</v>
      </c>
      <c r="E1" s="142" t="s">
        <v>340</v>
      </c>
      <c r="F1" s="142" t="s">
        <v>60</v>
      </c>
      <c r="G1" s="206" t="s">
        <v>36</v>
      </c>
      <c r="H1" t="s">
        <v>96</v>
      </c>
      <c r="I1" s="78" t="s">
        <v>378</v>
      </c>
      <c r="J1" s="81">
        <f>AB171</f>
        <v>0</v>
      </c>
      <c r="K1" s="81"/>
      <c r="L1" s="81"/>
      <c r="M1" s="81"/>
      <c r="P1" s="142" t="s">
        <v>29</v>
      </c>
      <c r="Q1" s="142"/>
      <c r="R1" s="142"/>
      <c r="S1" s="142" t="s">
        <v>66</v>
      </c>
      <c r="T1" s="142"/>
      <c r="U1" s="142"/>
      <c r="V1" s="142"/>
      <c r="W1" s="142"/>
      <c r="X1" s="142"/>
      <c r="AA1" t="s">
        <v>350</v>
      </c>
    </row>
    <row r="2" spans="1:40" x14ac:dyDescent="0.2">
      <c r="A2" s="142"/>
      <c r="B2" s="142"/>
      <c r="C2" s="142"/>
      <c r="D2" s="142"/>
      <c r="E2" s="142"/>
      <c r="F2" s="142"/>
      <c r="G2" s="207"/>
      <c r="H2" t="s">
        <v>134</v>
      </c>
      <c r="I2" s="78" t="s">
        <v>214</v>
      </c>
      <c r="J2" s="81">
        <f>AC171</f>
        <v>0</v>
      </c>
      <c r="K2" s="81"/>
      <c r="L2" s="81"/>
      <c r="M2" s="81"/>
      <c r="P2" s="142"/>
      <c r="Q2" s="142"/>
      <c r="R2" s="142"/>
      <c r="S2" s="31" t="s">
        <v>10</v>
      </c>
      <c r="T2" s="31" t="s">
        <v>12</v>
      </c>
      <c r="U2" s="31" t="s">
        <v>14</v>
      </c>
      <c r="V2" s="31" t="s">
        <v>17</v>
      </c>
      <c r="W2" s="31" t="s">
        <v>11</v>
      </c>
      <c r="X2" s="31" t="s">
        <v>5</v>
      </c>
      <c r="AA2" s="76"/>
      <c r="AB2" s="76" t="s">
        <v>343</v>
      </c>
      <c r="AC2" s="76" t="s">
        <v>137</v>
      </c>
      <c r="AD2" s="76" t="s">
        <v>344</v>
      </c>
      <c r="AE2" s="76" t="s">
        <v>54</v>
      </c>
      <c r="AF2" s="76" t="s">
        <v>237</v>
      </c>
      <c r="AG2" s="76" t="s">
        <v>346</v>
      </c>
      <c r="AH2" s="76" t="s">
        <v>22</v>
      </c>
      <c r="AI2" s="76" t="s">
        <v>347</v>
      </c>
      <c r="AJ2" s="76" t="s">
        <v>348</v>
      </c>
      <c r="AK2" s="76" t="s">
        <v>72</v>
      </c>
      <c r="AL2" s="76" t="s">
        <v>341</v>
      </c>
      <c r="AM2" s="76" t="s">
        <v>342</v>
      </c>
    </row>
    <row r="3" spans="1:40" x14ac:dyDescent="0.2">
      <c r="A3" s="31" t="s">
        <v>10</v>
      </c>
      <c r="B3" s="80">
        <f>IF(S15&gt;=0,S15,0)</f>
        <v>0</v>
      </c>
      <c r="C3" s="80">
        <f>S85</f>
        <v>0</v>
      </c>
      <c r="D3" s="80">
        <f>入力・結果表示シート!N29</f>
        <v>0</v>
      </c>
      <c r="E3" s="80">
        <f>S92</f>
        <v>0</v>
      </c>
      <c r="F3" s="80">
        <f>IF(入力・結果表示シート!C29="○",SUM(B3:D3)-E3,0)</f>
        <v>0</v>
      </c>
      <c r="G3" s="80">
        <f t="shared" ref="G3:G8" si="0">IF(F3&lt;=430000,0,F3-430000)</f>
        <v>0</v>
      </c>
      <c r="I3" s="78" t="s">
        <v>31</v>
      </c>
      <c r="J3" s="81">
        <f>AD171</f>
        <v>0</v>
      </c>
      <c r="K3" s="81"/>
      <c r="L3" s="81"/>
      <c r="M3" s="81"/>
      <c r="P3" s="142"/>
      <c r="Q3" s="142"/>
      <c r="R3" s="142"/>
      <c r="S3" s="103">
        <f>入力・結果表示シート!G29</f>
        <v>0</v>
      </c>
      <c r="T3" s="103">
        <f>入力・結果表示シート!G30</f>
        <v>0</v>
      </c>
      <c r="U3" s="103">
        <f>入力・結果表示シート!G31</f>
        <v>0</v>
      </c>
      <c r="V3" s="103">
        <f>入力・結果表示シート!G32</f>
        <v>0</v>
      </c>
      <c r="W3" s="103">
        <f>入力・結果表示シート!G33</f>
        <v>0</v>
      </c>
      <c r="X3" s="103">
        <f>入力・結果表示シート!G34</f>
        <v>0</v>
      </c>
      <c r="Y3" t="s">
        <v>67</v>
      </c>
      <c r="AA3" s="31" t="s">
        <v>10</v>
      </c>
      <c r="AB3" s="78" t="str">
        <f t="shared" ref="AB3:AB8" si="1">IFERROR(DATEDIF(B13,"2026/5/1","y"),"")</f>
        <v/>
      </c>
      <c r="AC3" s="78" t="str">
        <f t="shared" ref="AC3:AC8" si="2">IFERROR(DATEDIF(B13,"2026/6/1","y"),"")</f>
        <v/>
      </c>
      <c r="AD3" s="78" t="str">
        <f t="shared" ref="AD3:AD8" si="3">IFERROR(DATEDIF(B13,"2026/7/1","y"),"")</f>
        <v/>
      </c>
      <c r="AE3" s="78" t="str">
        <f t="shared" ref="AE3:AE8" si="4">IFERROR(DATEDIF(B13,"2026/8/1","y"),"")</f>
        <v/>
      </c>
      <c r="AF3" s="78" t="str">
        <f t="shared" ref="AF3:AF8" si="5">IFERROR(DATEDIF(B13,"2026/9/1","y"),"")</f>
        <v/>
      </c>
      <c r="AG3" s="78" t="str">
        <f t="shared" ref="AG3:AG8" si="6">IFERROR(DATEDIF(B13,"2026/10/1","y"),"")</f>
        <v/>
      </c>
      <c r="AH3" s="78" t="str">
        <f t="shared" ref="AH3:AH8" si="7">IFERROR(DATEDIF(B13,"2026/11/1","y"),"")</f>
        <v/>
      </c>
      <c r="AI3" s="78" t="str">
        <f t="shared" ref="AI3:AI8" si="8">IFERROR(DATEDIF(B13,"2026/12/1","y"),"")</f>
        <v/>
      </c>
      <c r="AJ3" s="78" t="str">
        <f t="shared" ref="AJ3:AJ8" si="9">IFERROR(DATEDIF(B13,"2027/1/1","y"),"")</f>
        <v/>
      </c>
      <c r="AK3" s="78" t="str">
        <f t="shared" ref="AK3:AK8" si="10">IFERROR(DATEDIF(B13,"2027/2/1","y"),"")</f>
        <v/>
      </c>
      <c r="AL3" s="78" t="str">
        <f t="shared" ref="AL3:AL8" si="11">IFERROR(DATEDIF(B13,"2027/3/1","y"),"")</f>
        <v/>
      </c>
      <c r="AM3" s="78" t="str">
        <f t="shared" ref="AM3:AM8" si="12">IFERROR(DATEDIF(B13,"2027/4/1","y"),"")</f>
        <v/>
      </c>
    </row>
    <row r="4" spans="1:40" x14ac:dyDescent="0.2">
      <c r="A4" s="31" t="s">
        <v>12</v>
      </c>
      <c r="B4" s="80">
        <f>IF(T15&gt;=0,T15,0)</f>
        <v>0</v>
      </c>
      <c r="C4" s="80">
        <f>T85</f>
        <v>0</v>
      </c>
      <c r="D4" s="80">
        <f>入力・結果表示シート!N30</f>
        <v>0</v>
      </c>
      <c r="E4" s="80">
        <f>T92</f>
        <v>0</v>
      </c>
      <c r="F4" s="80">
        <f>IF(入力・結果表示シート!C30="○",SUM(B4:D4)-E4,0)</f>
        <v>0</v>
      </c>
      <c r="G4" s="80">
        <f t="shared" si="0"/>
        <v>0</v>
      </c>
      <c r="I4" s="78" t="s">
        <v>379</v>
      </c>
      <c r="J4" s="81">
        <f>AE171</f>
        <v>0</v>
      </c>
      <c r="K4" s="81"/>
      <c r="L4" s="81"/>
      <c r="M4" s="81"/>
      <c r="P4" s="90"/>
      <c r="Q4" s="99" t="s">
        <v>64</v>
      </c>
      <c r="R4" s="90">
        <v>650999</v>
      </c>
      <c r="S4" s="79">
        <f t="shared" ref="S4:X4" si="13">IF(S3&lt;=$R$4,0,"")</f>
        <v>0</v>
      </c>
      <c r="T4" s="79">
        <f t="shared" si="13"/>
        <v>0</v>
      </c>
      <c r="U4" s="79">
        <f t="shared" si="13"/>
        <v>0</v>
      </c>
      <c r="V4" s="79">
        <f t="shared" si="13"/>
        <v>0</v>
      </c>
      <c r="W4" s="79">
        <f t="shared" si="13"/>
        <v>0</v>
      </c>
      <c r="X4" s="79">
        <f t="shared" si="13"/>
        <v>0</v>
      </c>
      <c r="AA4" s="31" t="s">
        <v>12</v>
      </c>
      <c r="AB4" s="78" t="str">
        <f t="shared" si="1"/>
        <v/>
      </c>
      <c r="AC4" s="78" t="str">
        <f t="shared" si="2"/>
        <v/>
      </c>
      <c r="AD4" s="78" t="str">
        <f t="shared" si="3"/>
        <v/>
      </c>
      <c r="AE4" s="78" t="str">
        <f t="shared" si="4"/>
        <v/>
      </c>
      <c r="AF4" s="78" t="str">
        <f t="shared" si="5"/>
        <v/>
      </c>
      <c r="AG4" s="78" t="str">
        <f t="shared" si="6"/>
        <v/>
      </c>
      <c r="AH4" s="78" t="str">
        <f t="shared" si="7"/>
        <v/>
      </c>
      <c r="AI4" s="78" t="str">
        <f t="shared" si="8"/>
        <v/>
      </c>
      <c r="AJ4" s="78" t="str">
        <f t="shared" si="9"/>
        <v/>
      </c>
      <c r="AK4" s="78" t="str">
        <f t="shared" si="10"/>
        <v/>
      </c>
      <c r="AL4" s="78" t="str">
        <f t="shared" si="11"/>
        <v/>
      </c>
      <c r="AM4" s="78" t="str">
        <f t="shared" si="12"/>
        <v/>
      </c>
    </row>
    <row r="5" spans="1:40" x14ac:dyDescent="0.2">
      <c r="A5" s="31" t="s">
        <v>14</v>
      </c>
      <c r="B5" s="80">
        <f>IF(U15&gt;=0,U15,0)</f>
        <v>0</v>
      </c>
      <c r="C5" s="80">
        <f>U85</f>
        <v>0</v>
      </c>
      <c r="D5" s="80">
        <f>入力・結果表示シート!N31</f>
        <v>0</v>
      </c>
      <c r="E5" s="80">
        <f>U92</f>
        <v>0</v>
      </c>
      <c r="F5" s="80">
        <f>IF(入力・結果表示シート!C31="○",SUM(B5:D5)-E5,0)</f>
        <v>0</v>
      </c>
      <c r="G5" s="80">
        <f t="shared" si="0"/>
        <v>0</v>
      </c>
      <c r="I5" s="78" t="s">
        <v>380</v>
      </c>
      <c r="J5" s="81">
        <f>AF171</f>
        <v>0</v>
      </c>
      <c r="K5" s="81"/>
      <c r="L5" s="81"/>
      <c r="M5" s="81"/>
      <c r="P5" s="90">
        <v>651000</v>
      </c>
      <c r="Q5" s="99" t="s">
        <v>64</v>
      </c>
      <c r="R5" s="90">
        <v>1899999</v>
      </c>
      <c r="S5" s="79" t="str">
        <f t="shared" ref="S5:X5" si="14">IF(AND($P$5&lt;=S3,S3&lt;=$R$5),S3-650000,"")</f>
        <v/>
      </c>
      <c r="T5" s="79" t="str">
        <f t="shared" si="14"/>
        <v/>
      </c>
      <c r="U5" s="79" t="str">
        <f t="shared" si="14"/>
        <v/>
      </c>
      <c r="V5" s="79" t="str">
        <f t="shared" si="14"/>
        <v/>
      </c>
      <c r="W5" s="79" t="str">
        <f t="shared" si="14"/>
        <v/>
      </c>
      <c r="X5" s="79" t="str">
        <f t="shared" si="14"/>
        <v/>
      </c>
      <c r="AA5" s="31" t="s">
        <v>14</v>
      </c>
      <c r="AB5" s="78" t="str">
        <f t="shared" si="1"/>
        <v/>
      </c>
      <c r="AC5" s="78" t="str">
        <f t="shared" si="2"/>
        <v/>
      </c>
      <c r="AD5" s="78" t="str">
        <f t="shared" si="3"/>
        <v/>
      </c>
      <c r="AE5" s="78" t="str">
        <f t="shared" si="4"/>
        <v/>
      </c>
      <c r="AF5" s="78" t="str">
        <f t="shared" si="5"/>
        <v/>
      </c>
      <c r="AG5" s="78" t="str">
        <f t="shared" si="6"/>
        <v/>
      </c>
      <c r="AH5" s="78" t="str">
        <f t="shared" si="7"/>
        <v/>
      </c>
      <c r="AI5" s="78" t="str">
        <f t="shared" si="8"/>
        <v/>
      </c>
      <c r="AJ5" s="78" t="str">
        <f t="shared" si="9"/>
        <v/>
      </c>
      <c r="AK5" s="78" t="str">
        <f t="shared" si="10"/>
        <v/>
      </c>
      <c r="AL5" s="78" t="str">
        <f t="shared" si="11"/>
        <v/>
      </c>
      <c r="AM5" s="78" t="str">
        <f t="shared" si="12"/>
        <v/>
      </c>
    </row>
    <row r="6" spans="1:40" x14ac:dyDescent="0.2">
      <c r="A6" s="31" t="s">
        <v>17</v>
      </c>
      <c r="B6" s="80">
        <f>IF(V15&gt;=0,V15,0)</f>
        <v>0</v>
      </c>
      <c r="C6" s="80">
        <f>V85</f>
        <v>0</v>
      </c>
      <c r="D6" s="80">
        <f>入力・結果表示シート!N32</f>
        <v>0</v>
      </c>
      <c r="E6" s="80">
        <f>V92</f>
        <v>0</v>
      </c>
      <c r="F6" s="80">
        <f>IF(入力・結果表示シート!C32="○",SUM(B6:D6)-E6,0)</f>
        <v>0</v>
      </c>
      <c r="G6" s="80">
        <f t="shared" si="0"/>
        <v>0</v>
      </c>
      <c r="I6" s="78" t="s">
        <v>334</v>
      </c>
      <c r="J6" s="81">
        <f>AG171</f>
        <v>0</v>
      </c>
      <c r="K6" s="81"/>
      <c r="L6" s="81"/>
      <c r="M6" s="81"/>
      <c r="P6" s="90">
        <v>1900000</v>
      </c>
      <c r="Q6" s="99" t="s">
        <v>64</v>
      </c>
      <c r="R6" s="90">
        <v>3599999</v>
      </c>
      <c r="S6" s="79" t="str">
        <f t="shared" ref="S6:X6" si="15">IF(AND($P$6&lt;=S3,S3&lt;=$R$6),ROUNDDOWN(S3/4,-3)*2.8-80000,"")</f>
        <v/>
      </c>
      <c r="T6" s="79" t="str">
        <f t="shared" si="15"/>
        <v/>
      </c>
      <c r="U6" s="79" t="str">
        <f t="shared" si="15"/>
        <v/>
      </c>
      <c r="V6" s="79" t="str">
        <f t="shared" si="15"/>
        <v/>
      </c>
      <c r="W6" s="79" t="str">
        <f t="shared" si="15"/>
        <v/>
      </c>
      <c r="X6" s="79" t="str">
        <f t="shared" si="15"/>
        <v/>
      </c>
      <c r="AA6" s="31" t="s">
        <v>17</v>
      </c>
      <c r="AB6" s="78" t="str">
        <f t="shared" si="1"/>
        <v/>
      </c>
      <c r="AC6" s="78" t="str">
        <f t="shared" si="2"/>
        <v/>
      </c>
      <c r="AD6" s="78" t="str">
        <f t="shared" si="3"/>
        <v/>
      </c>
      <c r="AE6" s="78" t="str">
        <f t="shared" si="4"/>
        <v/>
      </c>
      <c r="AF6" s="78" t="str">
        <f t="shared" si="5"/>
        <v/>
      </c>
      <c r="AG6" s="78" t="str">
        <f t="shared" si="6"/>
        <v/>
      </c>
      <c r="AH6" s="78" t="str">
        <f t="shared" si="7"/>
        <v/>
      </c>
      <c r="AI6" s="78" t="str">
        <f t="shared" si="8"/>
        <v/>
      </c>
      <c r="AJ6" s="78" t="str">
        <f t="shared" si="9"/>
        <v/>
      </c>
      <c r="AK6" s="78" t="str">
        <f t="shared" si="10"/>
        <v/>
      </c>
      <c r="AL6" s="78" t="str">
        <f t="shared" si="11"/>
        <v/>
      </c>
      <c r="AM6" s="78" t="str">
        <f t="shared" si="12"/>
        <v/>
      </c>
    </row>
    <row r="7" spans="1:40" x14ac:dyDescent="0.2">
      <c r="A7" s="31" t="s">
        <v>11</v>
      </c>
      <c r="B7" s="80">
        <f>IF(W15&gt;=0,W15,0)</f>
        <v>0</v>
      </c>
      <c r="C7" s="80">
        <f>W85</f>
        <v>0</v>
      </c>
      <c r="D7" s="80">
        <f>入力・結果表示シート!N33</f>
        <v>0</v>
      </c>
      <c r="E7" s="80">
        <f>W92</f>
        <v>0</v>
      </c>
      <c r="F7" s="80">
        <f>IF(入力・結果表示シート!C33="○",SUM(B7:D7)-E7,0)</f>
        <v>0</v>
      </c>
      <c r="G7" s="80">
        <f t="shared" si="0"/>
        <v>0</v>
      </c>
      <c r="I7" s="78" t="s">
        <v>328</v>
      </c>
      <c r="J7" s="81">
        <f>AH171</f>
        <v>0</v>
      </c>
      <c r="K7" s="81"/>
      <c r="L7" s="81"/>
      <c r="M7" s="81"/>
      <c r="P7" s="90">
        <v>3600000</v>
      </c>
      <c r="Q7" s="99" t="s">
        <v>64</v>
      </c>
      <c r="R7" s="90">
        <v>6599999</v>
      </c>
      <c r="S7" s="79" t="str">
        <f t="shared" ref="S7:X7" si="16">IF(AND($P$7&lt;=S3,S3&lt;=$R$7),ROUNDDOWN(S3/4,-3)*3.2-440000,"")</f>
        <v/>
      </c>
      <c r="T7" s="79" t="str">
        <f t="shared" si="16"/>
        <v/>
      </c>
      <c r="U7" s="79" t="str">
        <f t="shared" si="16"/>
        <v/>
      </c>
      <c r="V7" s="79" t="str">
        <f t="shared" si="16"/>
        <v/>
      </c>
      <c r="W7" s="79" t="str">
        <f t="shared" si="16"/>
        <v/>
      </c>
      <c r="X7" s="79" t="str">
        <f t="shared" si="16"/>
        <v/>
      </c>
      <c r="AA7" s="31" t="s">
        <v>11</v>
      </c>
      <c r="AB7" s="78" t="str">
        <f t="shared" si="1"/>
        <v/>
      </c>
      <c r="AC7" s="78" t="str">
        <f t="shared" si="2"/>
        <v/>
      </c>
      <c r="AD7" s="78" t="str">
        <f t="shared" si="3"/>
        <v/>
      </c>
      <c r="AE7" s="78" t="str">
        <f t="shared" si="4"/>
        <v/>
      </c>
      <c r="AF7" s="78" t="str">
        <f t="shared" si="5"/>
        <v/>
      </c>
      <c r="AG7" s="78" t="str">
        <f t="shared" si="6"/>
        <v/>
      </c>
      <c r="AH7" s="78" t="str">
        <f t="shared" si="7"/>
        <v/>
      </c>
      <c r="AI7" s="78" t="str">
        <f t="shared" si="8"/>
        <v/>
      </c>
      <c r="AJ7" s="78" t="str">
        <f t="shared" si="9"/>
        <v/>
      </c>
      <c r="AK7" s="78" t="str">
        <f t="shared" si="10"/>
        <v/>
      </c>
      <c r="AL7" s="78" t="str">
        <f t="shared" si="11"/>
        <v/>
      </c>
      <c r="AM7" s="78" t="str">
        <f t="shared" si="12"/>
        <v/>
      </c>
    </row>
    <row r="8" spans="1:40" x14ac:dyDescent="0.2">
      <c r="A8" s="31" t="s">
        <v>5</v>
      </c>
      <c r="B8" s="80">
        <f>IF(X15&gt;=0,X15,0)</f>
        <v>0</v>
      </c>
      <c r="C8" s="80">
        <f>X85</f>
        <v>0</v>
      </c>
      <c r="D8" s="80">
        <f>入力・結果表示シート!N34</f>
        <v>0</v>
      </c>
      <c r="E8" s="80">
        <f>X92</f>
        <v>0</v>
      </c>
      <c r="F8" s="80">
        <f>IF(入力・結果表示シート!C34="○",SUM(B8:D8)-E8,0)</f>
        <v>0</v>
      </c>
      <c r="G8" s="80">
        <f t="shared" si="0"/>
        <v>0</v>
      </c>
      <c r="I8" s="78" t="s">
        <v>107</v>
      </c>
      <c r="J8" s="81">
        <f>AI171</f>
        <v>0</v>
      </c>
      <c r="K8" s="81"/>
      <c r="L8" s="81"/>
      <c r="M8" s="81"/>
      <c r="P8" s="90">
        <v>6600000</v>
      </c>
      <c r="Q8" s="99" t="s">
        <v>64</v>
      </c>
      <c r="R8" s="90">
        <v>8499999</v>
      </c>
      <c r="S8" s="79" t="str">
        <f t="shared" ref="S8:X8" si="17">IF(AND($P$8&lt;=S3,S3&lt;=$R$8),ROUNDDOWN(S3*0.9-1100000,0),"")</f>
        <v/>
      </c>
      <c r="T8" s="79" t="str">
        <f t="shared" si="17"/>
        <v/>
      </c>
      <c r="U8" s="79" t="str">
        <f t="shared" si="17"/>
        <v/>
      </c>
      <c r="V8" s="79" t="str">
        <f t="shared" si="17"/>
        <v/>
      </c>
      <c r="W8" s="79" t="str">
        <f t="shared" si="17"/>
        <v/>
      </c>
      <c r="X8" s="79" t="str">
        <f t="shared" si="17"/>
        <v/>
      </c>
      <c r="AA8" s="31" t="s">
        <v>5</v>
      </c>
      <c r="AB8" s="78" t="str">
        <f t="shared" si="1"/>
        <v/>
      </c>
      <c r="AC8" s="78" t="str">
        <f t="shared" si="2"/>
        <v/>
      </c>
      <c r="AD8" s="78" t="str">
        <f t="shared" si="3"/>
        <v/>
      </c>
      <c r="AE8" s="78" t="str">
        <f t="shared" si="4"/>
        <v/>
      </c>
      <c r="AF8" s="78" t="str">
        <f t="shared" si="5"/>
        <v/>
      </c>
      <c r="AG8" s="78" t="str">
        <f t="shared" si="6"/>
        <v/>
      </c>
      <c r="AH8" s="78" t="str">
        <f t="shared" si="7"/>
        <v/>
      </c>
      <c r="AI8" s="78" t="str">
        <f t="shared" si="8"/>
        <v/>
      </c>
      <c r="AJ8" s="78" t="str">
        <f t="shared" si="9"/>
        <v/>
      </c>
      <c r="AK8" s="78" t="str">
        <f t="shared" si="10"/>
        <v/>
      </c>
      <c r="AL8" s="78" t="str">
        <f t="shared" si="11"/>
        <v/>
      </c>
      <c r="AM8" s="78" t="str">
        <f t="shared" si="12"/>
        <v/>
      </c>
    </row>
    <row r="9" spans="1:40" x14ac:dyDescent="0.2">
      <c r="B9" s="81"/>
      <c r="C9" s="81"/>
      <c r="D9" s="81"/>
      <c r="E9" s="89"/>
      <c r="F9" s="89" t="s">
        <v>70</v>
      </c>
      <c r="G9" s="91">
        <f>SUM(G3:G8)</f>
        <v>0</v>
      </c>
      <c r="I9" s="78" t="s">
        <v>345</v>
      </c>
      <c r="J9" s="81">
        <f>AJ171</f>
        <v>0</v>
      </c>
      <c r="K9" s="81"/>
      <c r="L9" s="81"/>
      <c r="M9" s="81"/>
      <c r="P9" s="90">
        <v>8500000</v>
      </c>
      <c r="Q9" s="99" t="s">
        <v>64</v>
      </c>
      <c r="R9" s="90"/>
      <c r="S9" s="79" t="str">
        <f t="shared" ref="S9:X9" si="18">IF(AND($P$9&lt;=S3),S3-1950000,"")</f>
        <v/>
      </c>
      <c r="T9" s="79" t="str">
        <f t="shared" si="18"/>
        <v/>
      </c>
      <c r="U9" s="79" t="str">
        <f t="shared" si="18"/>
        <v/>
      </c>
      <c r="V9" s="79" t="str">
        <f t="shared" si="18"/>
        <v/>
      </c>
      <c r="W9" s="79" t="str">
        <f t="shared" si="18"/>
        <v/>
      </c>
      <c r="X9" s="79" t="str">
        <f t="shared" si="18"/>
        <v/>
      </c>
    </row>
    <row r="10" spans="1:40" x14ac:dyDescent="0.2">
      <c r="D10" t="s">
        <v>53</v>
      </c>
      <c r="I10" s="78" t="s">
        <v>318</v>
      </c>
      <c r="J10" s="81">
        <f>AK171</f>
        <v>0</v>
      </c>
      <c r="K10" s="81"/>
      <c r="L10" s="81"/>
      <c r="M10" s="81"/>
      <c r="P10" s="80"/>
      <c r="Q10" s="31" t="s">
        <v>64</v>
      </c>
      <c r="R10" s="80"/>
      <c r="S10" s="103"/>
      <c r="T10" s="103"/>
      <c r="U10" s="103"/>
      <c r="V10" s="103"/>
      <c r="W10" s="103"/>
      <c r="X10" s="103"/>
      <c r="AA10" t="s">
        <v>254</v>
      </c>
    </row>
    <row r="11" spans="1:40" x14ac:dyDescent="0.2">
      <c r="A11" s="142" t="s">
        <v>56</v>
      </c>
      <c r="B11" s="142" t="s">
        <v>39</v>
      </c>
      <c r="C11" s="208" t="s">
        <v>373</v>
      </c>
      <c r="D11" s="208" t="s">
        <v>71</v>
      </c>
      <c r="E11" s="208" t="s">
        <v>73</v>
      </c>
      <c r="F11" s="208" t="s">
        <v>386</v>
      </c>
      <c r="G11" s="208" t="s">
        <v>40</v>
      </c>
      <c r="I11" s="78" t="s">
        <v>283</v>
      </c>
      <c r="J11" s="81">
        <f>AL171</f>
        <v>0</v>
      </c>
      <c r="K11" s="81"/>
      <c r="L11" s="81"/>
      <c r="M11" s="81"/>
      <c r="P11" s="80"/>
      <c r="Q11" s="31" t="s">
        <v>64</v>
      </c>
      <c r="R11" s="80"/>
      <c r="S11" s="103"/>
      <c r="T11" s="103"/>
      <c r="U11" s="103"/>
      <c r="V11" s="103"/>
      <c r="W11" s="103"/>
      <c r="X11" s="103"/>
      <c r="AA11" s="76"/>
      <c r="AB11" s="76" t="s">
        <v>343</v>
      </c>
      <c r="AC11" s="76" t="s">
        <v>137</v>
      </c>
      <c r="AD11" s="76" t="s">
        <v>344</v>
      </c>
      <c r="AE11" s="76" t="s">
        <v>54</v>
      </c>
      <c r="AF11" s="76" t="s">
        <v>237</v>
      </c>
      <c r="AG11" s="76" t="s">
        <v>346</v>
      </c>
      <c r="AH11" s="76" t="s">
        <v>22</v>
      </c>
      <c r="AI11" s="76" t="s">
        <v>347</v>
      </c>
      <c r="AJ11" s="76" t="s">
        <v>348</v>
      </c>
      <c r="AK11" s="76" t="s">
        <v>72</v>
      </c>
      <c r="AL11" s="76" t="s">
        <v>341</v>
      </c>
      <c r="AM11" s="76" t="s">
        <v>342</v>
      </c>
    </row>
    <row r="12" spans="1:40" x14ac:dyDescent="0.2">
      <c r="A12" s="142"/>
      <c r="B12" s="142"/>
      <c r="C12" s="142"/>
      <c r="D12" s="142"/>
      <c r="E12" s="142"/>
      <c r="F12" s="142"/>
      <c r="G12" s="142"/>
      <c r="I12" s="78" t="s">
        <v>381</v>
      </c>
      <c r="J12" s="81">
        <f>AM171</f>
        <v>0</v>
      </c>
      <c r="K12" s="81"/>
      <c r="L12" s="81"/>
      <c r="M12" s="81"/>
      <c r="P12" s="80"/>
      <c r="Q12" s="31" t="s">
        <v>64</v>
      </c>
      <c r="R12" s="80"/>
      <c r="S12" s="103"/>
      <c r="T12" s="103"/>
      <c r="U12" s="103"/>
      <c r="V12" s="103"/>
      <c r="W12" s="103"/>
      <c r="X12" s="103"/>
      <c r="AA12" s="31" t="s">
        <v>10</v>
      </c>
      <c r="AB12" s="76">
        <f>IF(入力・結果表示シート!$C$29="○",IF(AND(AB3&gt;39,AB3&lt;65),1,0),0)</f>
        <v>0</v>
      </c>
      <c r="AC12" s="76">
        <f>IF(入力・結果表示シート!$C$29="○",IF(AND(AC3&gt;39,AC3&lt;65),1,0),0)</f>
        <v>0</v>
      </c>
      <c r="AD12" s="76">
        <f>IF(入力・結果表示シート!$C$29="○",IF(AND(AD3&gt;39,AD3&lt;65),1,0),0)</f>
        <v>0</v>
      </c>
      <c r="AE12" s="76">
        <f>IF(入力・結果表示シート!$C$29="○",IF(AND(AE3&gt;39,AE3&lt;65),1,0),0)</f>
        <v>0</v>
      </c>
      <c r="AF12" s="76">
        <f>IF(入力・結果表示シート!$C$29="○",IF(AND(AF3&gt;39,AF3&lt;65),1,0),0)</f>
        <v>0</v>
      </c>
      <c r="AG12" s="76">
        <f>IF(入力・結果表示シート!$C$29="○",IF(AND(AG3&gt;39,AG3&lt;65),1,0),0)</f>
        <v>0</v>
      </c>
      <c r="AH12" s="76">
        <f>IF(入力・結果表示シート!$C$29="○",IF(AND(AH3&gt;39,AH3&lt;65),1,0),0)</f>
        <v>0</v>
      </c>
      <c r="AI12" s="76">
        <f>IF(入力・結果表示シート!$C$29="○",IF(AND(AI3&gt;39,AI3&lt;65),1,0),0)</f>
        <v>0</v>
      </c>
      <c r="AJ12" s="76">
        <f>IF(入力・結果表示シート!$C$29="○",IF(AND(AJ3&gt;39,AJ3&lt;65),1,0),0)</f>
        <v>0</v>
      </c>
      <c r="AK12" s="76">
        <f>IF(入力・結果表示シート!$C$29="○",IF(AND(AK3&gt;39,AK3&lt;65),1,0),0)</f>
        <v>0</v>
      </c>
      <c r="AL12" s="76">
        <f>IF(入力・結果表示シート!$C$29="○",IF(AND(AL3&gt;39,AL3&lt;65),1,0),0)</f>
        <v>0</v>
      </c>
      <c r="AM12" s="76">
        <f>IF(入力・結果表示シート!$C$29="○",IF(AND(AM3&gt;39,AM3&lt;65),1,0),0)</f>
        <v>0</v>
      </c>
      <c r="AN12">
        <f t="shared" ref="AN12:AN18" si="19">SUM(AB12:AM12)</f>
        <v>0</v>
      </c>
    </row>
    <row r="13" spans="1:40" x14ac:dyDescent="0.2">
      <c r="A13" s="31" t="s">
        <v>10</v>
      </c>
      <c r="B13" s="82" t="str">
        <f>IF(入力・結果表示シート!D29="","",TEXT(DATE(入力・結果表示シート!D29,入力・結果表示シート!E29,入力・結果表示シート!F29),"yyyy/m/d"))</f>
        <v/>
      </c>
      <c r="C13" s="86" t="str">
        <f t="shared" ref="C13:C18" si="20">IFERROR(DATEDIF(B13,"2026/1/1","y"),"")</f>
        <v/>
      </c>
      <c r="D13" s="80">
        <f t="shared" ref="D13:D18" si="21">IF(C13&gt;=65,IF(C3&gt;150000,C3-150000,C3-C3),C3)</f>
        <v>0</v>
      </c>
      <c r="E13" s="80">
        <f t="shared" ref="E13:E18" si="22">B3+D13+D3-E3</f>
        <v>0</v>
      </c>
      <c r="F13" s="93" t="str">
        <f>IF(入力・結果表示シート!G29="","",IF(入力・結果表示シート!G29&gt;550000,1,0))</f>
        <v/>
      </c>
      <c r="G13" s="93">
        <f t="shared" ref="G13:G18" si="23">IF(OR(D13&gt;0,F13=1),1,0)</f>
        <v>0</v>
      </c>
      <c r="P13" s="80"/>
      <c r="Q13" s="31" t="s">
        <v>64</v>
      </c>
      <c r="R13" s="80"/>
      <c r="S13" s="103"/>
      <c r="T13" s="103"/>
      <c r="U13" s="103"/>
      <c r="V13" s="103"/>
      <c r="W13" s="103"/>
      <c r="X13" s="103"/>
      <c r="AA13" s="31" t="s">
        <v>12</v>
      </c>
      <c r="AB13" s="76">
        <f>IF(入力・結果表示シート!$C$30="○",IF(AND(AB4&gt;39,AB4&lt;65),1,0),0)</f>
        <v>0</v>
      </c>
      <c r="AC13" s="76">
        <f>IF(入力・結果表示シート!$C$30="○",IF(AND(AC4&gt;39,AC4&lt;65),1,0),0)</f>
        <v>0</v>
      </c>
      <c r="AD13" s="76">
        <f>IF(入力・結果表示シート!$C$30="○",IF(AND(AD4&gt;39,AD4&lt;65),1,0),0)</f>
        <v>0</v>
      </c>
      <c r="AE13" s="76">
        <f>IF(入力・結果表示シート!$C$30="○",IF(AND(AE4&gt;39,AE4&lt;65),1,0),0)</f>
        <v>0</v>
      </c>
      <c r="AF13" s="76">
        <f>IF(入力・結果表示シート!$C$30="○",IF(AND(AF4&gt;39,AF4&lt;65),1,0),0)</f>
        <v>0</v>
      </c>
      <c r="AG13" s="76">
        <f>IF(入力・結果表示シート!$C$30="○",IF(AND(AG4&gt;39,AG4&lt;65),1,0),0)</f>
        <v>0</v>
      </c>
      <c r="AH13" s="76">
        <f>IF(入力・結果表示シート!$C$30="○",IF(AND(AH4&gt;39,AH4&lt;65),1,0),0)</f>
        <v>0</v>
      </c>
      <c r="AI13" s="76">
        <f>IF(入力・結果表示シート!$C$30="○",IF(AND(AI4&gt;39,AI4&lt;65),1,0),0)</f>
        <v>0</v>
      </c>
      <c r="AJ13" s="76">
        <f>IF(入力・結果表示シート!$C$30="○",IF(AND(AJ4&gt;39,AJ4&lt;65),1,0),0)</f>
        <v>0</v>
      </c>
      <c r="AK13" s="76">
        <f>IF(入力・結果表示シート!$C$30="○",IF(AND(AK4&gt;39,AK4&lt;65),1,0),0)</f>
        <v>0</v>
      </c>
      <c r="AL13" s="76">
        <f>IF(入力・結果表示シート!$C$30="○",IF(AND(AL4&gt;39,AL4&lt;65),1,0),0)</f>
        <v>0</v>
      </c>
      <c r="AM13" s="76">
        <f>IF(入力・結果表示シート!$C$30="○",IF(AND(AM4&gt;39,AM4&lt;65),1,0),0)</f>
        <v>0</v>
      </c>
      <c r="AN13">
        <f t="shared" si="19"/>
        <v>0</v>
      </c>
    </row>
    <row r="14" spans="1:40" x14ac:dyDescent="0.2">
      <c r="A14" s="31" t="s">
        <v>12</v>
      </c>
      <c r="B14" s="82" t="str">
        <f>IF(入力・結果表示シート!D30="","",TEXT(DATE(入力・結果表示シート!D30,入力・結果表示シート!E30,入力・結果表示シート!F30),"yyyy/m/d"))</f>
        <v/>
      </c>
      <c r="C14" s="86" t="str">
        <f t="shared" si="20"/>
        <v/>
      </c>
      <c r="D14" s="80">
        <f t="shared" si="21"/>
        <v>0</v>
      </c>
      <c r="E14" s="80">
        <f t="shared" si="22"/>
        <v>0</v>
      </c>
      <c r="F14" s="93" t="str">
        <f>IF(入力・結果表示シート!G30="","",IF(入力・結果表示シート!G30&gt;550000,1,0))</f>
        <v/>
      </c>
      <c r="G14" s="93">
        <f t="shared" si="23"/>
        <v>0</v>
      </c>
      <c r="P14" s="80"/>
      <c r="Q14" s="31" t="s">
        <v>64</v>
      </c>
      <c r="R14" s="80"/>
      <c r="S14" s="103"/>
      <c r="T14" s="103"/>
      <c r="U14" s="103"/>
      <c r="V14" s="103"/>
      <c r="W14" s="103"/>
      <c r="X14" s="103"/>
      <c r="AA14" s="31" t="s">
        <v>14</v>
      </c>
      <c r="AB14" s="76">
        <f>IF(入力・結果表示シート!$C$31="○",IF(AND(AB5&gt;39,AB5&lt;65),1,0),0)</f>
        <v>0</v>
      </c>
      <c r="AC14" s="76">
        <f>IF(入力・結果表示シート!$C$31="○",IF(AND(AC5&gt;39,AC5&lt;65),1,0),0)</f>
        <v>0</v>
      </c>
      <c r="AD14" s="76">
        <f>IF(入力・結果表示シート!$C$31="○",IF(AND(AD5&gt;39,AD5&lt;65),1,0),0)</f>
        <v>0</v>
      </c>
      <c r="AE14" s="76">
        <f>IF(入力・結果表示シート!$C$31="○",IF(AND(AE5&gt;39,AE5&lt;65),1,0),0)</f>
        <v>0</v>
      </c>
      <c r="AF14" s="76">
        <f>IF(入力・結果表示シート!$C$31="○",IF(AND(AF5&gt;39,AF5&lt;65),1,0),0)</f>
        <v>0</v>
      </c>
      <c r="AG14" s="76">
        <f>IF(入力・結果表示シート!$C$31="○",IF(AND(AG5&gt;39,AG5&lt;65),1,0),0)</f>
        <v>0</v>
      </c>
      <c r="AH14" s="76">
        <f>IF(入力・結果表示シート!$C$31="○",IF(AND(AH5&gt;39,AH5&lt;65),1,0),0)</f>
        <v>0</v>
      </c>
      <c r="AI14" s="76">
        <f>IF(入力・結果表示シート!$C$31="○",IF(AND(AI5&gt;39,AI5&lt;65),1,0),0)</f>
        <v>0</v>
      </c>
      <c r="AJ14" s="76">
        <f>IF(入力・結果表示シート!$C$31="○",IF(AND(AJ5&gt;39,AJ5&lt;65),1,0),0)</f>
        <v>0</v>
      </c>
      <c r="AK14" s="76">
        <f>IF(入力・結果表示シート!$C$31="○",IF(AND(AK5&gt;39,AK5&lt;65),1,0),0)</f>
        <v>0</v>
      </c>
      <c r="AL14" s="76">
        <f>IF(入力・結果表示シート!$C$31="○",IF(AND(AL5&gt;39,AL5&lt;65),1,0),0)</f>
        <v>0</v>
      </c>
      <c r="AM14" s="76">
        <f>IF(入力・結果表示シート!$C$31="○",IF(AND(AM5&gt;39,AM5&lt;65),1,0),0)</f>
        <v>0</v>
      </c>
      <c r="AN14">
        <f t="shared" si="19"/>
        <v>0</v>
      </c>
    </row>
    <row r="15" spans="1:40" x14ac:dyDescent="0.2">
      <c r="A15" s="31" t="s">
        <v>14</v>
      </c>
      <c r="B15" s="82" t="str">
        <f>IF(入力・結果表示シート!D31="","",TEXT(DATE(入力・結果表示シート!D31,入力・結果表示シート!E31,入力・結果表示シート!F31),"yyyy/m/d"))</f>
        <v/>
      </c>
      <c r="C15" s="86" t="str">
        <f t="shared" si="20"/>
        <v/>
      </c>
      <c r="D15" s="80">
        <f t="shared" si="21"/>
        <v>0</v>
      </c>
      <c r="E15" s="80">
        <f t="shared" si="22"/>
        <v>0</v>
      </c>
      <c r="F15" s="93" t="str">
        <f>IF(入力・結果表示シート!G31="","",IF(入力・結果表示シート!G31&gt;550000,1,0))</f>
        <v/>
      </c>
      <c r="G15" s="93">
        <f t="shared" si="23"/>
        <v>0</v>
      </c>
      <c r="P15" s="81"/>
      <c r="R15" s="93" t="s">
        <v>25</v>
      </c>
      <c r="S15" s="80">
        <f t="shared" ref="S15:X15" si="24">SUM(S4:S14)</f>
        <v>0</v>
      </c>
      <c r="T15" s="80">
        <f t="shared" si="24"/>
        <v>0</v>
      </c>
      <c r="U15" s="80">
        <f t="shared" si="24"/>
        <v>0</v>
      </c>
      <c r="V15" s="80">
        <f t="shared" si="24"/>
        <v>0</v>
      </c>
      <c r="W15" s="80">
        <f t="shared" si="24"/>
        <v>0</v>
      </c>
      <c r="X15" s="80">
        <f t="shared" si="24"/>
        <v>0</v>
      </c>
      <c r="AA15" s="31" t="s">
        <v>17</v>
      </c>
      <c r="AB15" s="76">
        <f>IF(入力・結果表示シート!$C$32="○",IF(AND(AB6&gt;39,AB6&lt;65),1,0),0)</f>
        <v>0</v>
      </c>
      <c r="AC15" s="76">
        <f>IF(入力・結果表示シート!$C$32="○",IF(AND(AC6&gt;39,AC6&lt;65),1,0),0)</f>
        <v>0</v>
      </c>
      <c r="AD15" s="76">
        <f>IF(入力・結果表示シート!$C$32="○",IF(AND(AD6&gt;39,AD6&lt;65),1,0),0)</f>
        <v>0</v>
      </c>
      <c r="AE15" s="76">
        <f>IF(入力・結果表示シート!$C$32="○",IF(AND(AE6&gt;39,AE6&lt;65),1,0),0)</f>
        <v>0</v>
      </c>
      <c r="AF15" s="76">
        <f>IF(入力・結果表示シート!$C$32="○",IF(AND(AF6&gt;39,AF6&lt;65),1,0),0)</f>
        <v>0</v>
      </c>
      <c r="AG15" s="76">
        <f>IF(入力・結果表示シート!$C$32="○",IF(AND(AG6&gt;39,AG6&lt;65),1,0),0)</f>
        <v>0</v>
      </c>
      <c r="AH15" s="76">
        <f>IF(入力・結果表示シート!$C$32="○",IF(AND(AH6&gt;39,AH6&lt;65),1,0),0)</f>
        <v>0</v>
      </c>
      <c r="AI15" s="76">
        <f>IF(入力・結果表示シート!$C$32="○",IF(AND(AI6&gt;39,AI6&lt;65),1,0),0)</f>
        <v>0</v>
      </c>
      <c r="AJ15" s="76">
        <f>IF(入力・結果表示シート!$C$32="○",IF(AND(AJ6&gt;39,AJ6&lt;65),1,0),0)</f>
        <v>0</v>
      </c>
      <c r="AK15" s="76">
        <f>IF(入力・結果表示シート!$C$32="○",IF(AND(AK6&gt;39,AK6&lt;65),1,0),0)</f>
        <v>0</v>
      </c>
      <c r="AL15" s="76">
        <f>IF(入力・結果表示シート!$C$32="○",IF(AND(AL6&gt;39,AL6&lt;65),1,0),0)</f>
        <v>0</v>
      </c>
      <c r="AM15" s="76">
        <f>IF(入力・結果表示シート!$C$32="○",IF(AND(AM6&gt;39,AM6&lt;65),1,0),0)</f>
        <v>0</v>
      </c>
      <c r="AN15">
        <f t="shared" si="19"/>
        <v>0</v>
      </c>
    </row>
    <row r="16" spans="1:40" x14ac:dyDescent="0.2">
      <c r="A16" s="31" t="s">
        <v>17</v>
      </c>
      <c r="B16" s="82" t="str">
        <f>IF(入力・結果表示シート!D32="","",TEXT(DATE(入力・結果表示シート!D32,入力・結果表示シート!E32,入力・結果表示シート!F32),"yyyy/m/d"))</f>
        <v/>
      </c>
      <c r="C16" s="86" t="str">
        <f t="shared" si="20"/>
        <v/>
      </c>
      <c r="D16" s="80">
        <f t="shared" si="21"/>
        <v>0</v>
      </c>
      <c r="E16" s="80">
        <f t="shared" si="22"/>
        <v>0</v>
      </c>
      <c r="F16" s="93" t="str">
        <f>IF(入力・結果表示シート!G32="","",IF(入力・結果表示シート!G32&gt;550000,1,0))</f>
        <v/>
      </c>
      <c r="G16" s="93">
        <f t="shared" si="23"/>
        <v>0</v>
      </c>
      <c r="P16" s="81"/>
      <c r="R16" s="81"/>
      <c r="AA16" s="31" t="s">
        <v>11</v>
      </c>
      <c r="AB16" s="76">
        <f>IF(入力・結果表示シート!$C$33="○",IF(AND(AB7&gt;39,AB7&lt;65),1,0),0)</f>
        <v>0</v>
      </c>
      <c r="AC16" s="76">
        <f>IF(入力・結果表示シート!$C$33="○",IF(AND(AC7&gt;39,AC7&lt;65),1,0),0)</f>
        <v>0</v>
      </c>
      <c r="AD16" s="76">
        <f>IF(入力・結果表示シート!$C$33="○",IF(AND(AD7&gt;39,AD7&lt;65),1,0),0)</f>
        <v>0</v>
      </c>
      <c r="AE16" s="76">
        <f>IF(入力・結果表示シート!$C$33="○",IF(AND(AE7&gt;39,AE7&lt;65),1,0),0)</f>
        <v>0</v>
      </c>
      <c r="AF16" s="76">
        <f>IF(入力・結果表示シート!$C$33="○",IF(AND(AF7&gt;39,AF7&lt;65),1,0),0)</f>
        <v>0</v>
      </c>
      <c r="AG16" s="76">
        <f>IF(入力・結果表示シート!$C$33="○",IF(AND(AG7&gt;39,AG7&lt;65),1,0),0)</f>
        <v>0</v>
      </c>
      <c r="AH16" s="76">
        <f>IF(入力・結果表示シート!$C$33="○",IF(AND(AH7&gt;39,AH7&lt;65),1,0),0)</f>
        <v>0</v>
      </c>
      <c r="AI16" s="76">
        <f>IF(入力・結果表示シート!$C$33="○",IF(AND(AI7&gt;39,AI7&lt;65),1,0),0)</f>
        <v>0</v>
      </c>
      <c r="AJ16" s="76">
        <f>IF(入力・結果表示シート!$C$33="○",IF(AND(AJ7&gt;39,AJ7&lt;65),1,0),0)</f>
        <v>0</v>
      </c>
      <c r="AK16" s="76">
        <f>IF(入力・結果表示シート!$C$33="○",IF(AND(AK7&gt;39,AK7&lt;65),1,0),0)</f>
        <v>0</v>
      </c>
      <c r="AL16" s="76">
        <f>IF(入力・結果表示シート!$C$33="○",IF(AND(AL7&gt;39,AL7&lt;65),1,0),0)</f>
        <v>0</v>
      </c>
      <c r="AM16" s="76">
        <f>IF(入力・結果表示シート!$C$33="○",IF(AND(AM7&gt;39,AM7&lt;65),1,0),0)</f>
        <v>0</v>
      </c>
      <c r="AN16">
        <f t="shared" si="19"/>
        <v>0</v>
      </c>
    </row>
    <row r="17" spans="1:40" x14ac:dyDescent="0.2">
      <c r="A17" s="31" t="s">
        <v>11</v>
      </c>
      <c r="B17" s="82" t="str">
        <f>IF(入力・結果表示シート!D33="","",TEXT(DATE(入力・結果表示シート!D33,入力・結果表示シート!E33,入力・結果表示シート!F33),"yyyy/m/d"))</f>
        <v/>
      </c>
      <c r="C17" s="86" t="str">
        <f t="shared" si="20"/>
        <v/>
      </c>
      <c r="D17" s="80">
        <f t="shared" si="21"/>
        <v>0</v>
      </c>
      <c r="E17" s="80">
        <f t="shared" si="22"/>
        <v>0</v>
      </c>
      <c r="F17" s="93" t="str">
        <f>IF(入力・結果表示シート!G33="","",IF(入力・結果表示シート!G33&gt;550000,1,0))</f>
        <v/>
      </c>
      <c r="G17" s="93">
        <f t="shared" si="23"/>
        <v>0</v>
      </c>
      <c r="AA17" s="31" t="s">
        <v>5</v>
      </c>
      <c r="AB17" s="76">
        <f>IF(入力・結果表示シート!$C$34="○",IF(AND(AB8&gt;39,AB8&lt;65),1,0),0)</f>
        <v>0</v>
      </c>
      <c r="AC17" s="76">
        <f>IF(入力・結果表示シート!$C$34="○",IF(AND(AC8&gt;39,AC8&lt;65),1,0),0)</f>
        <v>0</v>
      </c>
      <c r="AD17" s="76">
        <f>IF(入力・結果表示シート!$C$34="○",IF(AND(AD8&gt;39,AD8&lt;65),1,0),0)</f>
        <v>0</v>
      </c>
      <c r="AE17" s="76">
        <f>IF(入力・結果表示シート!$C$34="○",IF(AND(AE8&gt;39,AE8&lt;65),1,0),0)</f>
        <v>0</v>
      </c>
      <c r="AF17" s="76">
        <f>IF(入力・結果表示シート!$C$34="○",IF(AND(AF8&gt;39,AF8&lt;65),1,0),0)</f>
        <v>0</v>
      </c>
      <c r="AG17" s="76">
        <f>IF(入力・結果表示シート!$C$34="○",IF(AND(AG8&gt;39,AG8&lt;65),1,0),0)</f>
        <v>0</v>
      </c>
      <c r="AH17" s="76">
        <f>IF(入力・結果表示シート!$C$34="○",IF(AND(AH8&gt;39,AH8&lt;65),1,0),0)</f>
        <v>0</v>
      </c>
      <c r="AI17" s="76">
        <f>IF(入力・結果表示シート!$C$34="○",IF(AND(AI8&gt;39,AI8&lt;65),1,0),0)</f>
        <v>0</v>
      </c>
      <c r="AJ17" s="76">
        <f>IF(入力・結果表示シート!$C$34="○",IF(AND(AJ8&gt;39,AJ8&lt;65),1,0),0)</f>
        <v>0</v>
      </c>
      <c r="AK17" s="76">
        <f>IF(入力・結果表示シート!$C$34="○",IF(AND(AK8&gt;39,AK8&lt;65),1,0),0)</f>
        <v>0</v>
      </c>
      <c r="AL17" s="76">
        <f>IF(入力・結果表示シート!$C$34="○",IF(AND(AL8&gt;39,AL8&lt;65),1,0),0)</f>
        <v>0</v>
      </c>
      <c r="AM17" s="76">
        <f>IF(入力・結果表示シート!$C$34="○",IF(AND(AM8&gt;39,AM8&lt;65),1,0),0)</f>
        <v>0</v>
      </c>
      <c r="AN17">
        <f t="shared" si="19"/>
        <v>0</v>
      </c>
    </row>
    <row r="18" spans="1:40" x14ac:dyDescent="0.2">
      <c r="A18" s="31" t="s">
        <v>5</v>
      </c>
      <c r="B18" s="82" t="str">
        <f>IF(入力・結果表示シート!D34="","",TEXT(DATE(入力・結果表示シート!D34,入力・結果表示シート!E34,入力・結果表示シート!F34),"yyyy/m/d"))</f>
        <v/>
      </c>
      <c r="C18" s="86" t="str">
        <f t="shared" si="20"/>
        <v/>
      </c>
      <c r="D18" s="80">
        <f t="shared" si="21"/>
        <v>0</v>
      </c>
      <c r="E18" s="80">
        <f t="shared" si="22"/>
        <v>0</v>
      </c>
      <c r="F18" s="93" t="str">
        <f>IF(入力・結果表示シート!G34="","",IF(入力・結果表示シート!G34&gt;550000,1,0))</f>
        <v/>
      </c>
      <c r="G18" s="93">
        <f t="shared" si="23"/>
        <v>0</v>
      </c>
      <c r="AA18" s="31" t="s">
        <v>351</v>
      </c>
      <c r="AB18" s="76">
        <f t="shared" ref="AB18:AM18" si="25">IF(COUNTIF(AB12:AB17,1)&gt;=1,1,0)</f>
        <v>0</v>
      </c>
      <c r="AC18" s="76">
        <f t="shared" si="25"/>
        <v>0</v>
      </c>
      <c r="AD18" s="76">
        <f t="shared" si="25"/>
        <v>0</v>
      </c>
      <c r="AE18" s="76">
        <f t="shared" si="25"/>
        <v>0</v>
      </c>
      <c r="AF18" s="76">
        <f t="shared" si="25"/>
        <v>0</v>
      </c>
      <c r="AG18" s="76">
        <f t="shared" si="25"/>
        <v>0</v>
      </c>
      <c r="AH18" s="76">
        <f t="shared" si="25"/>
        <v>0</v>
      </c>
      <c r="AI18" s="76">
        <f t="shared" si="25"/>
        <v>0</v>
      </c>
      <c r="AJ18" s="76">
        <f t="shared" si="25"/>
        <v>0</v>
      </c>
      <c r="AK18" s="76">
        <f t="shared" si="25"/>
        <v>0</v>
      </c>
      <c r="AL18" s="76">
        <f t="shared" si="25"/>
        <v>0</v>
      </c>
      <c r="AM18" s="76">
        <f t="shared" si="25"/>
        <v>0</v>
      </c>
      <c r="AN18">
        <f t="shared" si="19"/>
        <v>0</v>
      </c>
    </row>
    <row r="19" spans="1:40" x14ac:dyDescent="0.2">
      <c r="C19" s="81"/>
      <c r="D19" s="89" t="s">
        <v>30</v>
      </c>
      <c r="E19" s="91">
        <f>SUM(E13:E18)</f>
        <v>0</v>
      </c>
    </row>
    <row r="20" spans="1:40" x14ac:dyDescent="0.2">
      <c r="O20" s="208" t="s">
        <v>51</v>
      </c>
      <c r="P20" s="208"/>
      <c r="Q20" s="208"/>
      <c r="R20" s="208"/>
      <c r="S20" s="181" t="s">
        <v>69</v>
      </c>
      <c r="T20" s="182"/>
      <c r="U20" s="182"/>
      <c r="V20" s="182"/>
      <c r="W20" s="182"/>
      <c r="X20" s="183"/>
    </row>
    <row r="21" spans="1:40" x14ac:dyDescent="0.2">
      <c r="A21" s="206"/>
      <c r="B21" s="206" t="s">
        <v>78</v>
      </c>
      <c r="C21" s="209" t="s">
        <v>81</v>
      </c>
      <c r="D21" s="206" t="s">
        <v>41</v>
      </c>
      <c r="O21" s="208"/>
      <c r="P21" s="208"/>
      <c r="Q21" s="208"/>
      <c r="R21" s="208"/>
      <c r="S21" s="31" t="s">
        <v>10</v>
      </c>
      <c r="T21" s="31" t="s">
        <v>12</v>
      </c>
      <c r="U21" s="31" t="s">
        <v>14</v>
      </c>
      <c r="V21" s="31" t="s">
        <v>17</v>
      </c>
      <c r="W21" s="31" t="s">
        <v>11</v>
      </c>
      <c r="X21" s="31" t="s">
        <v>5</v>
      </c>
      <c r="AA21" t="s">
        <v>372</v>
      </c>
    </row>
    <row r="22" spans="1:40" x14ac:dyDescent="0.2">
      <c r="A22" s="207"/>
      <c r="B22" s="207"/>
      <c r="C22" s="207"/>
      <c r="D22" s="207"/>
      <c r="O22" s="208"/>
      <c r="P22" s="208"/>
      <c r="Q22" s="208"/>
      <c r="R22" s="208"/>
      <c r="S22" s="76" t="str">
        <f>C13</f>
        <v/>
      </c>
      <c r="T22" s="76" t="str">
        <f>C14</f>
        <v/>
      </c>
      <c r="U22" s="76" t="str">
        <f>C15</f>
        <v/>
      </c>
      <c r="V22" s="76" t="str">
        <f>C16</f>
        <v/>
      </c>
      <c r="W22" s="76" t="str">
        <f>C17</f>
        <v/>
      </c>
      <c r="X22" s="76" t="str">
        <f>C18</f>
        <v/>
      </c>
      <c r="Y22" t="s">
        <v>58</v>
      </c>
      <c r="AA22" s="76"/>
      <c r="AB22" s="76" t="s">
        <v>343</v>
      </c>
      <c r="AC22" s="76" t="s">
        <v>137</v>
      </c>
      <c r="AD22" s="76" t="s">
        <v>344</v>
      </c>
      <c r="AE22" s="76" t="s">
        <v>54</v>
      </c>
      <c r="AF22" s="76" t="s">
        <v>237</v>
      </c>
      <c r="AG22" s="76" t="s">
        <v>346</v>
      </c>
      <c r="AH22" s="76" t="s">
        <v>22</v>
      </c>
      <c r="AI22" s="76" t="s">
        <v>347</v>
      </c>
      <c r="AJ22" s="76" t="s">
        <v>348</v>
      </c>
      <c r="AK22" s="76" t="s">
        <v>72</v>
      </c>
      <c r="AL22" s="76" t="s">
        <v>341</v>
      </c>
      <c r="AM22" s="76" t="s">
        <v>342</v>
      </c>
    </row>
    <row r="23" spans="1:40" x14ac:dyDescent="0.2">
      <c r="A23" s="76" t="s">
        <v>20</v>
      </c>
      <c r="B23" s="206">
        <f>COUNTIF(入力・結果表示シート!C29:C34,"○")</f>
        <v>0</v>
      </c>
      <c r="C23" s="211">
        <f>SUM(G13:G18)</f>
        <v>0</v>
      </c>
      <c r="D23" s="90">
        <f>$D$25+570000*$B$23</f>
        <v>430000</v>
      </c>
      <c r="E23" s="92">
        <f>IF($E$19&lt;=D23,2,"")</f>
        <v>2</v>
      </c>
      <c r="O23" s="208"/>
      <c r="P23" s="208"/>
      <c r="Q23" s="208"/>
      <c r="R23" s="208"/>
      <c r="S23" s="76">
        <f>入力・結果表示シート!J29</f>
        <v>0</v>
      </c>
      <c r="T23" s="76">
        <f>入力・結果表示シート!J30</f>
        <v>0</v>
      </c>
      <c r="U23" s="76">
        <f>入力・結果表示シート!J31</f>
        <v>0</v>
      </c>
      <c r="V23" s="76">
        <f>入力・結果表示シート!J32</f>
        <v>0</v>
      </c>
      <c r="W23" s="76">
        <f>入力・結果表示シート!J33</f>
        <v>0</v>
      </c>
      <c r="X23" s="76">
        <f>入力・結果表示シート!J34</f>
        <v>0</v>
      </c>
      <c r="Y23" t="s">
        <v>46</v>
      </c>
      <c r="AA23" s="31" t="s">
        <v>10</v>
      </c>
      <c r="AB23" s="78" t="str">
        <f t="shared" ref="AB23:AB28" si="26">IFERROR(DATEDIF(B13,"2026/4/30","y"),"")</f>
        <v/>
      </c>
      <c r="AC23" s="78" t="str">
        <f t="shared" ref="AC23:AC28" si="27">IFERROR(DATEDIF(B13,"2026/5/31","y"),"")</f>
        <v/>
      </c>
      <c r="AD23" s="78" t="str">
        <f t="shared" ref="AD23:AD28" si="28">IFERROR(DATEDIF(B13,"2026/6/30","y"),"")</f>
        <v/>
      </c>
      <c r="AE23" s="78" t="str">
        <f t="shared" ref="AE23:AE28" si="29">IFERROR(DATEDIF(B13,"2026/7/31","y"),"")</f>
        <v/>
      </c>
      <c r="AF23" s="78" t="str">
        <f t="shared" ref="AF23:AF28" si="30">IFERROR(DATEDIF(B13,"2026/8/31","y"),"")</f>
        <v/>
      </c>
      <c r="AG23" s="78" t="str">
        <f t="shared" ref="AG23:AG28" si="31">IFERROR(DATEDIF(B13,"2026/9/30","y"),"")</f>
        <v/>
      </c>
      <c r="AH23" s="78" t="str">
        <f t="shared" ref="AH23:AH28" si="32">IFERROR(DATEDIF(B13,"2026/10/31","y"),"")</f>
        <v/>
      </c>
      <c r="AI23" s="78" t="str">
        <f t="shared" ref="AI23:AI28" si="33">IFERROR(DATEDIF(B13,"2026/11/30","y"),"")</f>
        <v/>
      </c>
      <c r="AJ23" s="78" t="str">
        <f t="shared" ref="AJ23:AJ28" si="34">IFERROR(DATEDIF(B13,"2026/12/31","y"),"")</f>
        <v/>
      </c>
      <c r="AK23" s="78" t="str">
        <f t="shared" ref="AK23:AK28" si="35">IFERROR(DATEDIF(B13,"2027/1/31","y"),"")</f>
        <v/>
      </c>
      <c r="AL23" s="78" t="str">
        <f t="shared" ref="AL23:AL28" si="36">IFERROR(DATEDIF(B13,"2027/2/28","y"),"")</f>
        <v/>
      </c>
      <c r="AM23" s="78" t="str">
        <f t="shared" ref="AM23:AM28" si="37">IFERROR(DATEDIF(B13,"2027/3/31","y"),"")</f>
        <v/>
      </c>
    </row>
    <row r="24" spans="1:40" x14ac:dyDescent="0.2">
      <c r="A24" s="76" t="s">
        <v>80</v>
      </c>
      <c r="B24" s="210"/>
      <c r="C24" s="210"/>
      <c r="D24" s="90">
        <f>$D$25+310000*$B$23</f>
        <v>430000</v>
      </c>
      <c r="E24" s="92">
        <f>IF($E$19&lt;=D24,5,"")</f>
        <v>5</v>
      </c>
      <c r="O24" s="208" t="s">
        <v>74</v>
      </c>
      <c r="P24" s="80"/>
      <c r="Q24" s="31" t="s">
        <v>64</v>
      </c>
      <c r="R24" s="80">
        <v>1300000</v>
      </c>
      <c r="S24" s="80" t="str">
        <f t="shared" ref="S24:X24" si="38">IF(AND(S22&lt;65,S23&lt;=$R$24),600000,"")</f>
        <v/>
      </c>
      <c r="T24" s="80" t="str">
        <f t="shared" si="38"/>
        <v/>
      </c>
      <c r="U24" s="80" t="str">
        <f t="shared" si="38"/>
        <v/>
      </c>
      <c r="V24" s="80" t="str">
        <f t="shared" si="38"/>
        <v/>
      </c>
      <c r="W24" s="80" t="str">
        <f t="shared" si="38"/>
        <v/>
      </c>
      <c r="X24" s="80" t="str">
        <f t="shared" si="38"/>
        <v/>
      </c>
      <c r="AA24" s="31" t="s">
        <v>12</v>
      </c>
      <c r="AB24" s="78" t="str">
        <f t="shared" si="26"/>
        <v/>
      </c>
      <c r="AC24" s="78" t="str">
        <f t="shared" si="27"/>
        <v/>
      </c>
      <c r="AD24" s="78" t="str">
        <f t="shared" si="28"/>
        <v/>
      </c>
      <c r="AE24" s="78" t="str">
        <f t="shared" si="29"/>
        <v/>
      </c>
      <c r="AF24" s="78" t="str">
        <f t="shared" si="30"/>
        <v/>
      </c>
      <c r="AG24" s="78" t="str">
        <f t="shared" si="31"/>
        <v/>
      </c>
      <c r="AH24" s="78" t="str">
        <f t="shared" si="32"/>
        <v/>
      </c>
      <c r="AI24" s="78" t="str">
        <f t="shared" si="33"/>
        <v/>
      </c>
      <c r="AJ24" s="78" t="str">
        <f t="shared" si="34"/>
        <v/>
      </c>
      <c r="AK24" s="78" t="str">
        <f t="shared" si="35"/>
        <v/>
      </c>
      <c r="AL24" s="78" t="str">
        <f t="shared" si="36"/>
        <v/>
      </c>
      <c r="AM24" s="78" t="str">
        <f t="shared" si="37"/>
        <v/>
      </c>
    </row>
    <row r="25" spans="1:40" x14ac:dyDescent="0.2">
      <c r="A25" s="76" t="s">
        <v>63</v>
      </c>
      <c r="B25" s="207"/>
      <c r="C25" s="207"/>
      <c r="D25" s="80">
        <f>430000+100000*(IF(C23-1&lt;0,0,C23-1))</f>
        <v>430000</v>
      </c>
      <c r="E25" s="92">
        <f>IF($E$19&lt;=D25,7,"")</f>
        <v>7</v>
      </c>
      <c r="F25" s="74" t="s">
        <v>82</v>
      </c>
      <c r="G25" s="94">
        <f>MAX(E23:E25)</f>
        <v>7</v>
      </c>
      <c r="H25" s="95" t="s">
        <v>75</v>
      </c>
      <c r="O25" s="142"/>
      <c r="P25" s="80">
        <v>1300001</v>
      </c>
      <c r="Q25" s="31" t="s">
        <v>64</v>
      </c>
      <c r="R25" s="80">
        <v>4100000</v>
      </c>
      <c r="S25" s="80" t="str">
        <f t="shared" ref="S25:X25" si="39">IF(AND(S22&lt;65,$P$25&lt;=S23,S23&lt;=$R$25),ROUNDDOWN(S23*0.25+275000,0),"")</f>
        <v/>
      </c>
      <c r="T25" s="80" t="str">
        <f t="shared" si="39"/>
        <v/>
      </c>
      <c r="U25" s="80" t="str">
        <f t="shared" si="39"/>
        <v/>
      </c>
      <c r="V25" s="80" t="str">
        <f t="shared" si="39"/>
        <v/>
      </c>
      <c r="W25" s="80" t="str">
        <f t="shared" si="39"/>
        <v/>
      </c>
      <c r="X25" s="80" t="str">
        <f t="shared" si="39"/>
        <v/>
      </c>
      <c r="AA25" s="31" t="s">
        <v>14</v>
      </c>
      <c r="AB25" s="78" t="str">
        <f t="shared" si="26"/>
        <v/>
      </c>
      <c r="AC25" s="78" t="str">
        <f t="shared" si="27"/>
        <v/>
      </c>
      <c r="AD25" s="78" t="str">
        <f t="shared" si="28"/>
        <v/>
      </c>
      <c r="AE25" s="78" t="str">
        <f t="shared" si="29"/>
        <v/>
      </c>
      <c r="AF25" s="78" t="str">
        <f t="shared" si="30"/>
        <v/>
      </c>
      <c r="AG25" s="78" t="str">
        <f t="shared" si="31"/>
        <v/>
      </c>
      <c r="AH25" s="78" t="str">
        <f t="shared" si="32"/>
        <v/>
      </c>
      <c r="AI25" s="78" t="str">
        <f t="shared" si="33"/>
        <v/>
      </c>
      <c r="AJ25" s="78" t="str">
        <f t="shared" si="34"/>
        <v/>
      </c>
      <c r="AK25" s="78" t="str">
        <f t="shared" si="35"/>
        <v/>
      </c>
      <c r="AL25" s="78" t="str">
        <f t="shared" si="36"/>
        <v/>
      </c>
      <c r="AM25" s="78" t="str">
        <f t="shared" si="37"/>
        <v/>
      </c>
    </row>
    <row r="26" spans="1:40" x14ac:dyDescent="0.2">
      <c r="O26" s="142"/>
      <c r="P26" s="80">
        <v>4100001</v>
      </c>
      <c r="Q26" s="31" t="s">
        <v>64</v>
      </c>
      <c r="R26" s="80">
        <v>7700000</v>
      </c>
      <c r="S26" s="80" t="str">
        <f t="shared" ref="S26:X26" si="40">IF(AND(S22&lt;65,$P$26&lt;=S23,S23&lt;=$R$26),ROUNDDOWN(S23*0.15+685000,0),"")</f>
        <v/>
      </c>
      <c r="T26" s="80" t="str">
        <f t="shared" si="40"/>
        <v/>
      </c>
      <c r="U26" s="80" t="str">
        <f t="shared" si="40"/>
        <v/>
      </c>
      <c r="V26" s="80" t="str">
        <f t="shared" si="40"/>
        <v/>
      </c>
      <c r="W26" s="80" t="str">
        <f t="shared" si="40"/>
        <v/>
      </c>
      <c r="X26" s="80" t="str">
        <f t="shared" si="40"/>
        <v/>
      </c>
      <c r="AA26" s="31" t="s">
        <v>17</v>
      </c>
      <c r="AB26" s="78" t="str">
        <f t="shared" si="26"/>
        <v/>
      </c>
      <c r="AC26" s="78" t="str">
        <f t="shared" si="27"/>
        <v/>
      </c>
      <c r="AD26" s="78" t="str">
        <f t="shared" si="28"/>
        <v/>
      </c>
      <c r="AE26" s="78" t="str">
        <f t="shared" si="29"/>
        <v/>
      </c>
      <c r="AF26" s="78" t="str">
        <f t="shared" si="30"/>
        <v/>
      </c>
      <c r="AG26" s="78" t="str">
        <f t="shared" si="31"/>
        <v/>
      </c>
      <c r="AH26" s="78" t="str">
        <f t="shared" si="32"/>
        <v/>
      </c>
      <c r="AI26" s="78" t="str">
        <f t="shared" si="33"/>
        <v/>
      </c>
      <c r="AJ26" s="78" t="str">
        <f t="shared" si="34"/>
        <v/>
      </c>
      <c r="AK26" s="78" t="str">
        <f t="shared" si="35"/>
        <v/>
      </c>
      <c r="AL26" s="78" t="str">
        <f t="shared" si="36"/>
        <v/>
      </c>
      <c r="AM26" s="78" t="str">
        <f t="shared" si="37"/>
        <v/>
      </c>
    </row>
    <row r="27" spans="1:40" x14ac:dyDescent="0.2">
      <c r="O27" s="142"/>
      <c r="P27" s="80">
        <v>7700001</v>
      </c>
      <c r="Q27" s="31" t="s">
        <v>64</v>
      </c>
      <c r="R27" s="80">
        <v>10000000</v>
      </c>
      <c r="S27" s="80" t="str">
        <f t="shared" ref="S27:X27" si="41">IF(AND(S22&lt;65,$P$27&lt;=S23,S23&lt;=$R$27),ROUNDDOWN(S23*0.05+1455000,0),"")</f>
        <v/>
      </c>
      <c r="T27" s="80" t="str">
        <f t="shared" si="41"/>
        <v/>
      </c>
      <c r="U27" s="80" t="str">
        <f t="shared" si="41"/>
        <v/>
      </c>
      <c r="V27" s="80" t="str">
        <f t="shared" si="41"/>
        <v/>
      </c>
      <c r="W27" s="80" t="str">
        <f t="shared" si="41"/>
        <v/>
      </c>
      <c r="X27" s="80" t="str">
        <f t="shared" si="41"/>
        <v/>
      </c>
      <c r="AA27" s="31" t="s">
        <v>11</v>
      </c>
      <c r="AB27" s="78" t="str">
        <f t="shared" si="26"/>
        <v/>
      </c>
      <c r="AC27" s="78" t="str">
        <f t="shared" si="27"/>
        <v/>
      </c>
      <c r="AD27" s="78" t="str">
        <f t="shared" si="28"/>
        <v/>
      </c>
      <c r="AE27" s="78" t="str">
        <f t="shared" si="29"/>
        <v/>
      </c>
      <c r="AF27" s="78" t="str">
        <f t="shared" si="30"/>
        <v/>
      </c>
      <c r="AG27" s="78" t="str">
        <f t="shared" si="31"/>
        <v/>
      </c>
      <c r="AH27" s="78" t="str">
        <f t="shared" si="32"/>
        <v/>
      </c>
      <c r="AI27" s="78" t="str">
        <f t="shared" si="33"/>
        <v/>
      </c>
      <c r="AJ27" s="78" t="str">
        <f t="shared" si="34"/>
        <v/>
      </c>
      <c r="AK27" s="78" t="str">
        <f t="shared" si="35"/>
        <v/>
      </c>
      <c r="AL27" s="78" t="str">
        <f t="shared" si="36"/>
        <v/>
      </c>
      <c r="AM27" s="78" t="str">
        <f t="shared" si="37"/>
        <v/>
      </c>
    </row>
    <row r="28" spans="1:40" x14ac:dyDescent="0.2">
      <c r="A28" t="s">
        <v>1</v>
      </c>
      <c r="O28" s="142"/>
      <c r="P28" s="80">
        <v>10000001</v>
      </c>
      <c r="Q28" s="31"/>
      <c r="R28" s="80"/>
      <c r="S28" s="80" t="str">
        <f t="shared" ref="S28:X28" si="42">IF(AND(S22&lt;65,$P$28&lt;=S23),1955000,"")</f>
        <v/>
      </c>
      <c r="T28" s="80" t="str">
        <f t="shared" si="42"/>
        <v/>
      </c>
      <c r="U28" s="80" t="str">
        <f t="shared" si="42"/>
        <v/>
      </c>
      <c r="V28" s="80" t="str">
        <f t="shared" si="42"/>
        <v/>
      </c>
      <c r="W28" s="80" t="str">
        <f t="shared" si="42"/>
        <v/>
      </c>
      <c r="X28" s="80" t="str">
        <f t="shared" si="42"/>
        <v/>
      </c>
      <c r="AA28" s="31" t="s">
        <v>5</v>
      </c>
      <c r="AB28" s="78" t="str">
        <f t="shared" si="26"/>
        <v/>
      </c>
      <c r="AC28" s="78" t="str">
        <f t="shared" si="27"/>
        <v/>
      </c>
      <c r="AD28" s="78" t="str">
        <f t="shared" si="28"/>
        <v/>
      </c>
      <c r="AE28" s="78" t="str">
        <f t="shared" si="29"/>
        <v/>
      </c>
      <c r="AF28" s="78" t="str">
        <f t="shared" si="30"/>
        <v/>
      </c>
      <c r="AG28" s="78" t="str">
        <f t="shared" si="31"/>
        <v/>
      </c>
      <c r="AH28" s="78" t="str">
        <f t="shared" si="32"/>
        <v/>
      </c>
      <c r="AI28" s="78" t="str">
        <f t="shared" si="33"/>
        <v/>
      </c>
      <c r="AJ28" s="78" t="str">
        <f t="shared" si="34"/>
        <v/>
      </c>
      <c r="AK28" s="78" t="str">
        <f t="shared" si="35"/>
        <v/>
      </c>
      <c r="AL28" s="78" t="str">
        <f t="shared" si="36"/>
        <v/>
      </c>
      <c r="AM28" s="78" t="str">
        <f t="shared" si="37"/>
        <v/>
      </c>
    </row>
    <row r="29" spans="1:40" x14ac:dyDescent="0.2">
      <c r="A29" s="206" t="s">
        <v>56</v>
      </c>
      <c r="B29" s="206" t="s">
        <v>39</v>
      </c>
      <c r="C29" s="209" t="s">
        <v>88</v>
      </c>
      <c r="D29" s="209" t="s">
        <v>89</v>
      </c>
      <c r="E29" s="209" t="s">
        <v>91</v>
      </c>
      <c r="O29" s="208" t="s">
        <v>32</v>
      </c>
      <c r="P29" s="80"/>
      <c r="Q29" s="31" t="s">
        <v>64</v>
      </c>
      <c r="R29" s="80">
        <v>3300000</v>
      </c>
      <c r="S29" s="80">
        <f t="shared" ref="S29:X29" si="43">IF(AND(65&lt;=S22,S23&lt;=$R$29),1100000,"")</f>
        <v>1100000</v>
      </c>
      <c r="T29" s="80">
        <f t="shared" si="43"/>
        <v>1100000</v>
      </c>
      <c r="U29" s="80">
        <f t="shared" si="43"/>
        <v>1100000</v>
      </c>
      <c r="V29" s="80">
        <f t="shared" si="43"/>
        <v>1100000</v>
      </c>
      <c r="W29" s="80">
        <f t="shared" si="43"/>
        <v>1100000</v>
      </c>
      <c r="X29" s="80">
        <f t="shared" si="43"/>
        <v>1100000</v>
      </c>
    </row>
    <row r="30" spans="1:40" x14ac:dyDescent="0.2">
      <c r="A30" s="207"/>
      <c r="B30" s="207"/>
      <c r="C30" s="207"/>
      <c r="D30" s="207"/>
      <c r="E30" s="207"/>
      <c r="O30" s="142"/>
      <c r="P30" s="80">
        <v>3300001</v>
      </c>
      <c r="Q30" s="31" t="s">
        <v>64</v>
      </c>
      <c r="R30" s="80">
        <v>4100000</v>
      </c>
      <c r="S30" s="80" t="str">
        <f t="shared" ref="S30:X30" si="44">IF(AND(S22&gt;=65,$P$30&lt;=S23,S23&lt;=$R$30),ROUNDDOWN(S23*0.25+275000,0),"")</f>
        <v/>
      </c>
      <c r="T30" s="80" t="str">
        <f t="shared" si="44"/>
        <v/>
      </c>
      <c r="U30" s="80" t="str">
        <f t="shared" si="44"/>
        <v/>
      </c>
      <c r="V30" s="80" t="str">
        <f t="shared" si="44"/>
        <v/>
      </c>
      <c r="W30" s="80" t="str">
        <f t="shared" si="44"/>
        <v/>
      </c>
      <c r="X30" s="80" t="str">
        <f t="shared" si="44"/>
        <v/>
      </c>
      <c r="AA30" t="s">
        <v>389</v>
      </c>
    </row>
    <row r="31" spans="1:40" x14ac:dyDescent="0.2">
      <c r="A31" s="31" t="s">
        <v>10</v>
      </c>
      <c r="B31" s="82" t="str">
        <f t="shared" ref="B31:B36" si="45">B13</f>
        <v/>
      </c>
      <c r="C31" s="212">
        <v>46477</v>
      </c>
      <c r="D31" s="76">
        <f>IF(入力・結果表示シート!C29="○",DATEDIF(B31,$C$31+1,"y"),0)</f>
        <v>0</v>
      </c>
      <c r="E31" s="76">
        <f>IF(AND(入力・結果表示シート!C29="○",D31&lt;7),(10-$G$25)/2,0)</f>
        <v>0</v>
      </c>
      <c r="O31" s="142"/>
      <c r="P31" s="80">
        <v>4100001</v>
      </c>
      <c r="Q31" s="31" t="s">
        <v>64</v>
      </c>
      <c r="R31" s="80">
        <v>7700000</v>
      </c>
      <c r="S31" s="80" t="str">
        <f t="shared" ref="S31:X31" si="46">IF(AND(S22&gt;=65,$P$31&lt;=S23,S23&lt;=$R$31),ROUNDDOWN(S23*0.15+685000,0),"")</f>
        <v/>
      </c>
      <c r="T31" s="80" t="str">
        <f t="shared" si="46"/>
        <v/>
      </c>
      <c r="U31" s="80" t="str">
        <f t="shared" si="46"/>
        <v/>
      </c>
      <c r="V31" s="80" t="str">
        <f t="shared" si="46"/>
        <v/>
      </c>
      <c r="W31" s="80" t="str">
        <f t="shared" si="46"/>
        <v/>
      </c>
      <c r="X31" s="80" t="str">
        <f t="shared" si="46"/>
        <v/>
      </c>
      <c r="AA31" s="76"/>
      <c r="AB31" s="76" t="s">
        <v>343</v>
      </c>
      <c r="AC31" s="76" t="s">
        <v>137</v>
      </c>
      <c r="AD31" s="76" t="s">
        <v>344</v>
      </c>
      <c r="AE31" s="76" t="s">
        <v>54</v>
      </c>
      <c r="AF31" s="76" t="s">
        <v>237</v>
      </c>
      <c r="AG31" s="76" t="s">
        <v>346</v>
      </c>
      <c r="AH31" s="76" t="s">
        <v>22</v>
      </c>
      <c r="AI31" s="76" t="s">
        <v>347</v>
      </c>
      <c r="AJ31" s="76" t="s">
        <v>348</v>
      </c>
      <c r="AK31" s="76" t="s">
        <v>72</v>
      </c>
      <c r="AL31" s="76" t="s">
        <v>341</v>
      </c>
      <c r="AM31" s="76" t="s">
        <v>342</v>
      </c>
    </row>
    <row r="32" spans="1:40" x14ac:dyDescent="0.2">
      <c r="A32" s="31" t="s">
        <v>12</v>
      </c>
      <c r="B32" s="82" t="str">
        <f t="shared" si="45"/>
        <v/>
      </c>
      <c r="C32" s="213"/>
      <c r="D32" s="76">
        <f>IF(入力・結果表示シート!C30="○",DATEDIF(B32,$C$31+1,"y"),0)</f>
        <v>0</v>
      </c>
      <c r="E32" s="76">
        <f>IF(AND(入力・結果表示シート!C30="○",D32&lt;7),(10-$G$25)/2,0)</f>
        <v>0</v>
      </c>
      <c r="O32" s="142"/>
      <c r="P32" s="80">
        <v>7700001</v>
      </c>
      <c r="Q32" s="31" t="s">
        <v>64</v>
      </c>
      <c r="R32" s="80">
        <v>10000000</v>
      </c>
      <c r="S32" s="80" t="str">
        <f t="shared" ref="S32:X32" si="47">IF(AND(S22&gt;=65,$P$32&lt;=S23,S23&lt;=$R$32),ROUNDDOWN(S23*0.05+1455000,0),"")</f>
        <v/>
      </c>
      <c r="T32" s="80" t="str">
        <f t="shared" si="47"/>
        <v/>
      </c>
      <c r="U32" s="80" t="str">
        <f t="shared" si="47"/>
        <v/>
      </c>
      <c r="V32" s="80" t="str">
        <f t="shared" si="47"/>
        <v/>
      </c>
      <c r="W32" s="80" t="str">
        <f t="shared" si="47"/>
        <v/>
      </c>
      <c r="X32" s="80" t="str">
        <f t="shared" si="47"/>
        <v/>
      </c>
      <c r="AA32" s="31" t="s">
        <v>10</v>
      </c>
      <c r="AB32" s="76">
        <f>IF(入力・結果表示シート!$C$29="○",IF(AB23&lt;=74,1,0),0)</f>
        <v>0</v>
      </c>
      <c r="AC32" s="76">
        <f>IF(入力・結果表示シート!$C$29="○",IF(AC23&lt;=74,1,0),0)</f>
        <v>0</v>
      </c>
      <c r="AD32" s="76">
        <f>IF(入力・結果表示シート!$C$29="○",IF(AD23&lt;=74,1,0),0)</f>
        <v>0</v>
      </c>
      <c r="AE32" s="76">
        <f>IF(入力・結果表示シート!$C$29="○",IF(AE23&lt;=74,1,0),0)</f>
        <v>0</v>
      </c>
      <c r="AF32" s="76">
        <f>IF(入力・結果表示シート!$C$29="○",IF(AF23&lt;=74,1,0),0)</f>
        <v>0</v>
      </c>
      <c r="AG32" s="76">
        <f>IF(入力・結果表示シート!$C$29="○",IF(AG23&lt;=74,1,0),0)</f>
        <v>0</v>
      </c>
      <c r="AH32" s="76">
        <f>IF(入力・結果表示シート!$C$29="○",IF(AH23&lt;=74,1,0),0)</f>
        <v>0</v>
      </c>
      <c r="AI32" s="76">
        <f>IF(入力・結果表示シート!$C$29="○",IF(AI23&lt;=74,1,0),0)</f>
        <v>0</v>
      </c>
      <c r="AJ32" s="76">
        <f>IF(入力・結果表示シート!$C$29="○",IF(AJ23&lt;=74,1,0),0)</f>
        <v>0</v>
      </c>
      <c r="AK32" s="76">
        <f>IF(入力・結果表示シート!$C$29="○",IF(AK23&lt;=74,1,0),0)</f>
        <v>0</v>
      </c>
      <c r="AL32" s="76">
        <f>IF(入力・結果表示シート!$C$29="○",IF(AL23&lt;=74,1,0),0)</f>
        <v>0</v>
      </c>
      <c r="AM32" s="76">
        <f>IF(入力・結果表示シート!$C$29="○",IF(AM23&lt;=74,1,0),0)</f>
        <v>0</v>
      </c>
      <c r="AN32">
        <f t="shared" ref="AN32:AN37" si="48">SUM(AB32:AM32)</f>
        <v>0</v>
      </c>
    </row>
    <row r="33" spans="1:40" x14ac:dyDescent="0.2">
      <c r="A33" s="31" t="s">
        <v>14</v>
      </c>
      <c r="B33" s="82" t="str">
        <f t="shared" si="45"/>
        <v/>
      </c>
      <c r="C33" s="213"/>
      <c r="D33" s="76">
        <f>IF(入力・結果表示シート!C31="○",DATEDIF(B33,$C$31+1,"y"),0)</f>
        <v>0</v>
      </c>
      <c r="E33" s="76">
        <f>IF(AND(入力・結果表示シート!C31="○",D33&lt;7),(10-$G$25)/2,0)</f>
        <v>0</v>
      </c>
      <c r="O33" s="142"/>
      <c r="P33" s="80">
        <v>10000001</v>
      </c>
      <c r="Q33" s="31"/>
      <c r="R33" s="80"/>
      <c r="S33" s="80" t="str">
        <f t="shared" ref="S33:X33" si="49">IF(AND(S22&gt;=65,$P$33&lt;=S23),1955000,"")</f>
        <v/>
      </c>
      <c r="T33" s="80" t="str">
        <f t="shared" si="49"/>
        <v/>
      </c>
      <c r="U33" s="80" t="str">
        <f t="shared" si="49"/>
        <v/>
      </c>
      <c r="V33" s="80" t="str">
        <f t="shared" si="49"/>
        <v/>
      </c>
      <c r="W33" s="80" t="str">
        <f t="shared" si="49"/>
        <v/>
      </c>
      <c r="X33" s="80" t="str">
        <f t="shared" si="49"/>
        <v/>
      </c>
      <c r="AA33" s="31" t="s">
        <v>12</v>
      </c>
      <c r="AB33" s="76">
        <f>IF(入力・結果表示シート!$C$30="○",IF(AB24&lt;=74,1,0),0)</f>
        <v>0</v>
      </c>
      <c r="AC33" s="76">
        <f>IF(入力・結果表示シート!$C$30="○",IF(AC24&lt;=74,1,0),0)</f>
        <v>0</v>
      </c>
      <c r="AD33" s="76">
        <f>IF(入力・結果表示シート!$C$30="○",IF(AD24&lt;=74,1,0),0)</f>
        <v>0</v>
      </c>
      <c r="AE33" s="76">
        <f>IF(入力・結果表示シート!$C$30="○",IF(AE24&lt;=74,1,0),0)</f>
        <v>0</v>
      </c>
      <c r="AF33" s="76">
        <f>IF(入力・結果表示シート!$C$30="○",IF(AF24&lt;=74,1,0),0)</f>
        <v>0</v>
      </c>
      <c r="AG33" s="76">
        <f>IF(入力・結果表示シート!$C$30="○",IF(AG24&lt;=74,1,0),0)</f>
        <v>0</v>
      </c>
      <c r="AH33" s="76">
        <f>IF(入力・結果表示シート!$C$30="○",IF(AH24&lt;=74,1,0),0)</f>
        <v>0</v>
      </c>
      <c r="AI33" s="76">
        <f>IF(入力・結果表示シート!$C$30="○",IF(AI24&lt;=74,1,0),0)</f>
        <v>0</v>
      </c>
      <c r="AJ33" s="76">
        <f>IF(入力・結果表示シート!$C$30="○",IF(AJ24&lt;=74,1,0),0)</f>
        <v>0</v>
      </c>
      <c r="AK33" s="76">
        <f>IF(入力・結果表示シート!$C$30="○",IF(AK24&lt;=74,1,0),0)</f>
        <v>0</v>
      </c>
      <c r="AL33" s="76">
        <f>IF(入力・結果表示シート!$C$30="○",IF(AL24&lt;=74,1,0),0)</f>
        <v>0</v>
      </c>
      <c r="AM33" s="76">
        <f>IF(入力・結果表示シート!$C$30="○",IF(AM24&lt;=74,1,0),0)</f>
        <v>0</v>
      </c>
      <c r="AN33">
        <f t="shared" si="48"/>
        <v>0</v>
      </c>
    </row>
    <row r="34" spans="1:40" x14ac:dyDescent="0.2">
      <c r="A34" s="31" t="s">
        <v>17</v>
      </c>
      <c r="B34" s="82" t="str">
        <f t="shared" si="45"/>
        <v/>
      </c>
      <c r="C34" s="213"/>
      <c r="D34" s="76">
        <f>IF(入力・結果表示シート!C32="○",DATEDIF(B34,$C$31+1,"y"),0)</f>
        <v>0</v>
      </c>
      <c r="E34" s="76">
        <f>IF(AND(入力・結果表示シート!C32="○",D34&lt;7),(10-$G$25)/2,0)</f>
        <v>0</v>
      </c>
      <c r="R34" s="101" t="s">
        <v>76</v>
      </c>
      <c r="S34" s="80">
        <f t="shared" ref="S34:X34" si="50">SUM(S24:S33)</f>
        <v>1100000</v>
      </c>
      <c r="T34" s="80">
        <f t="shared" si="50"/>
        <v>1100000</v>
      </c>
      <c r="U34" s="80">
        <f t="shared" si="50"/>
        <v>1100000</v>
      </c>
      <c r="V34" s="80">
        <f t="shared" si="50"/>
        <v>1100000</v>
      </c>
      <c r="W34" s="80">
        <f t="shared" si="50"/>
        <v>1100000</v>
      </c>
      <c r="X34" s="80">
        <f t="shared" si="50"/>
        <v>1100000</v>
      </c>
      <c r="AA34" s="31" t="s">
        <v>14</v>
      </c>
      <c r="AB34" s="76">
        <f>IF(入力・結果表示シート!$C$31="○",IF(AB25&lt;=74,1,0),0)</f>
        <v>0</v>
      </c>
      <c r="AC34" s="76">
        <f>IF(入力・結果表示シート!$C$31="○",IF(AC25&lt;=74,1,0),0)</f>
        <v>0</v>
      </c>
      <c r="AD34" s="76">
        <f>IF(入力・結果表示シート!$C$31="○",IF(AD25&lt;=74,1,0),0)</f>
        <v>0</v>
      </c>
      <c r="AE34" s="76">
        <f>IF(入力・結果表示シート!$C$31="○",IF(AE25&lt;=74,1,0),0)</f>
        <v>0</v>
      </c>
      <c r="AF34" s="76">
        <f>IF(入力・結果表示シート!$C$31="○",IF(AF25&lt;=74,1,0),0)</f>
        <v>0</v>
      </c>
      <c r="AG34" s="76">
        <f>IF(入力・結果表示シート!$C$31="○",IF(AG25&lt;=74,1,0),0)</f>
        <v>0</v>
      </c>
      <c r="AH34" s="76">
        <f>IF(入力・結果表示シート!$C$31="○",IF(AH25&lt;=74,1,0),0)</f>
        <v>0</v>
      </c>
      <c r="AI34" s="76">
        <f>IF(入力・結果表示シート!$C$31="○",IF(AI25&lt;=74,1,0),0)</f>
        <v>0</v>
      </c>
      <c r="AJ34" s="76">
        <f>IF(入力・結果表示シート!$C$31="○",IF(AJ25&lt;=74,1,0),0)</f>
        <v>0</v>
      </c>
      <c r="AK34" s="76">
        <f>IF(入力・結果表示シート!$C$31="○",IF(AK25&lt;=74,1,0),0)</f>
        <v>0</v>
      </c>
      <c r="AL34" s="76">
        <f>IF(入力・結果表示シート!$C$31="○",IF(AL25&lt;=74,1,0),0)</f>
        <v>0</v>
      </c>
      <c r="AM34" s="76">
        <f>IF(入力・結果表示シート!$C$31="○",IF(AM25&lt;=74,1,0),0)</f>
        <v>0</v>
      </c>
      <c r="AN34">
        <f t="shared" si="48"/>
        <v>0</v>
      </c>
    </row>
    <row r="35" spans="1:40" x14ac:dyDescent="0.2">
      <c r="A35" s="31" t="s">
        <v>11</v>
      </c>
      <c r="B35" s="82" t="str">
        <f t="shared" si="45"/>
        <v/>
      </c>
      <c r="C35" s="213"/>
      <c r="D35" s="76">
        <f>IF(入力・結果表示シート!C33="○",DATEDIF(B35,$C$31+1,"y"),0)</f>
        <v>0</v>
      </c>
      <c r="E35" s="76">
        <f>IF(AND(入力・結果表示シート!C33="○",D35&lt;7),(10-$G$25)/2,0)</f>
        <v>0</v>
      </c>
      <c r="R35" s="101" t="s">
        <v>24</v>
      </c>
      <c r="S35" s="80">
        <f t="shared" ref="S35:X35" si="51">IF(S23-S34&gt;=0,S23-S34,0)</f>
        <v>0</v>
      </c>
      <c r="T35" s="80">
        <f t="shared" si="51"/>
        <v>0</v>
      </c>
      <c r="U35" s="80">
        <f t="shared" si="51"/>
        <v>0</v>
      </c>
      <c r="V35" s="80">
        <f t="shared" si="51"/>
        <v>0</v>
      </c>
      <c r="W35" s="80">
        <f t="shared" si="51"/>
        <v>0</v>
      </c>
      <c r="X35" s="80">
        <f t="shared" si="51"/>
        <v>0</v>
      </c>
      <c r="AA35" s="31" t="s">
        <v>17</v>
      </c>
      <c r="AB35" s="76">
        <f>IF(入力・結果表示シート!$C$32="○",IF(AB26&lt;=74,1,0),0)</f>
        <v>0</v>
      </c>
      <c r="AC35" s="76">
        <f>IF(入力・結果表示シート!$C$32="○",IF(AC26&lt;=74,1,0),0)</f>
        <v>0</v>
      </c>
      <c r="AD35" s="76">
        <f>IF(入力・結果表示シート!$C$32="○",IF(AD26&lt;=74,1,0),0)</f>
        <v>0</v>
      </c>
      <c r="AE35" s="76">
        <f>IF(入力・結果表示シート!$C$32="○",IF(AE26&lt;=74,1,0),0)</f>
        <v>0</v>
      </c>
      <c r="AF35" s="76">
        <f>IF(入力・結果表示シート!$C$32="○",IF(AF26&lt;=74,1,0),0)</f>
        <v>0</v>
      </c>
      <c r="AG35" s="76">
        <f>IF(入力・結果表示シート!$C$32="○",IF(AG26&lt;=74,1,0),0)</f>
        <v>0</v>
      </c>
      <c r="AH35" s="76">
        <f>IF(入力・結果表示シート!$C$32="○",IF(AH26&lt;=74,1,0),0)</f>
        <v>0</v>
      </c>
      <c r="AI35" s="76">
        <f>IF(入力・結果表示シート!$C$32="○",IF(AI26&lt;=74,1,0),0)</f>
        <v>0</v>
      </c>
      <c r="AJ35" s="76">
        <f>IF(入力・結果表示シート!$C$32="○",IF(AJ26&lt;=74,1,0),0)</f>
        <v>0</v>
      </c>
      <c r="AK35" s="76">
        <f>IF(入力・結果表示シート!$C$32="○",IF(AK26&lt;=74,1,0),0)</f>
        <v>0</v>
      </c>
      <c r="AL35" s="76">
        <f>IF(入力・結果表示シート!$C$32="○",IF(AL26&lt;=74,1,0),0)</f>
        <v>0</v>
      </c>
      <c r="AM35" s="76">
        <f>IF(入力・結果表示シート!$C$32="○",IF(AM26&lt;=74,1,0),0)</f>
        <v>0</v>
      </c>
      <c r="AN35">
        <f t="shared" si="48"/>
        <v>0</v>
      </c>
    </row>
    <row r="36" spans="1:40" x14ac:dyDescent="0.2">
      <c r="A36" s="31" t="s">
        <v>5</v>
      </c>
      <c r="B36" s="82" t="str">
        <f t="shared" si="45"/>
        <v/>
      </c>
      <c r="C36" s="214"/>
      <c r="D36" s="76">
        <f>IF(入力・結果表示シート!C34="○",DATEDIF(B36,$C$31+1,"y"),0)</f>
        <v>0</v>
      </c>
      <c r="E36" s="76">
        <f>IF(AND(入力・結果表示シート!C34="○",D36&lt;7),(10-$G$25)/2,0)</f>
        <v>0</v>
      </c>
      <c r="AA36" s="31" t="s">
        <v>11</v>
      </c>
      <c r="AB36" s="76">
        <f>IF(入力・結果表示シート!$C$33="○",IF(AB27&lt;=74,1,0),0)</f>
        <v>0</v>
      </c>
      <c r="AC36" s="76">
        <f>IF(入力・結果表示シート!$C$33="○",IF(AC27&lt;=74,1,0),0)</f>
        <v>0</v>
      </c>
      <c r="AD36" s="76">
        <f>IF(入力・結果表示シート!$C$33="○",IF(AD27&lt;=74,1,0),0)</f>
        <v>0</v>
      </c>
      <c r="AE36" s="76">
        <f>IF(入力・結果表示シート!$C$33="○",IF(AE27&lt;=74,1,0),0)</f>
        <v>0</v>
      </c>
      <c r="AF36" s="76">
        <f>IF(入力・結果表示シート!$C$33="○",IF(AF27&lt;=74,1,0),0)</f>
        <v>0</v>
      </c>
      <c r="AG36" s="76">
        <f>IF(入力・結果表示シート!$C$33="○",IF(AG27&lt;=74,1,0),0)</f>
        <v>0</v>
      </c>
      <c r="AH36" s="76">
        <f>IF(入力・結果表示シート!$C$33="○",IF(AH27&lt;=74,1,0),0)</f>
        <v>0</v>
      </c>
      <c r="AI36" s="76">
        <f>IF(入力・結果表示シート!$C$33="○",IF(AI27&lt;=74,1,0),0)</f>
        <v>0</v>
      </c>
      <c r="AJ36" s="76">
        <f>IF(入力・結果表示シート!$C$33="○",IF(AJ27&lt;=74,1,0),0)</f>
        <v>0</v>
      </c>
      <c r="AK36" s="76">
        <f>IF(入力・結果表示シート!$C$33="○",IF(AK27&lt;=74,1,0),0)</f>
        <v>0</v>
      </c>
      <c r="AL36" s="76">
        <f>IF(入力・結果表示シート!$C$33="○",IF(AL27&lt;=74,1,0),0)</f>
        <v>0</v>
      </c>
      <c r="AM36" s="76">
        <f>IF(入力・結果表示シート!$C$33="○",IF(AM27&lt;=74,1,0),0)</f>
        <v>0</v>
      </c>
      <c r="AN36">
        <f t="shared" si="48"/>
        <v>0</v>
      </c>
    </row>
    <row r="37" spans="1:40" x14ac:dyDescent="0.2">
      <c r="C37" s="87" t="s">
        <v>382</v>
      </c>
      <c r="AA37" s="31" t="s">
        <v>5</v>
      </c>
      <c r="AB37" s="76">
        <f>IF(入力・結果表示シート!$C$34="○",IF(AB28&lt;=74,1,0),0)</f>
        <v>0</v>
      </c>
      <c r="AC37" s="76">
        <f>IF(入力・結果表示シート!$C$34="○",IF(AC28&lt;=74,1,0),0)</f>
        <v>0</v>
      </c>
      <c r="AD37" s="76">
        <f>IF(入力・結果表示シート!$C$34="○",IF(AD28&lt;=74,1,0),0)</f>
        <v>0</v>
      </c>
      <c r="AE37" s="76">
        <f>IF(入力・結果表示シート!$C$34="○",IF(AE28&lt;=74,1,0),0)</f>
        <v>0</v>
      </c>
      <c r="AF37" s="76">
        <f>IF(入力・結果表示シート!$C$34="○",IF(AF28&lt;=74,1,0),0)</f>
        <v>0</v>
      </c>
      <c r="AG37" s="76">
        <f>IF(入力・結果表示シート!$C$34="○",IF(AG28&lt;=74,1,0),0)</f>
        <v>0</v>
      </c>
      <c r="AH37" s="76">
        <f>IF(入力・結果表示シート!$C$34="○",IF(AH28&lt;=74,1,0),0)</f>
        <v>0</v>
      </c>
      <c r="AI37" s="76">
        <f>IF(入力・結果表示シート!$C$34="○",IF(AI28&lt;=74,1,0),0)</f>
        <v>0</v>
      </c>
      <c r="AJ37" s="76">
        <f>IF(入力・結果表示シート!$C$34="○",IF(AJ28&lt;=74,1,0),0)</f>
        <v>0</v>
      </c>
      <c r="AK37" s="76">
        <f>IF(入力・結果表示シート!$C$34="○",IF(AK28&lt;=74,1,0),0)</f>
        <v>0</v>
      </c>
      <c r="AL37" s="76">
        <f>IF(入力・結果表示シート!$C$34="○",IF(AL28&lt;=74,1,0),0)</f>
        <v>0</v>
      </c>
      <c r="AM37" s="76">
        <f>IF(入力・結果表示シート!$C$34="○",IF(AM28&lt;=74,1,0),0)</f>
        <v>0</v>
      </c>
      <c r="AN37">
        <f t="shared" si="48"/>
        <v>0</v>
      </c>
    </row>
    <row r="38" spans="1:40" ht="13.2" customHeight="1" x14ac:dyDescent="0.2">
      <c r="O38" s="224" t="s">
        <v>77</v>
      </c>
      <c r="P38" s="225"/>
      <c r="Q38" s="225"/>
      <c r="R38" s="226"/>
      <c r="S38" s="181" t="s">
        <v>69</v>
      </c>
      <c r="T38" s="182"/>
      <c r="U38" s="182"/>
      <c r="V38" s="182"/>
      <c r="W38" s="182"/>
      <c r="X38" s="183"/>
      <c r="AA38" s="31" t="s">
        <v>351</v>
      </c>
      <c r="AB38" s="76">
        <f t="shared" ref="AB38:AM38" si="52">SUM(AB32:AB37)</f>
        <v>0</v>
      </c>
      <c r="AC38" s="76">
        <f t="shared" si="52"/>
        <v>0</v>
      </c>
      <c r="AD38" s="76">
        <f t="shared" si="52"/>
        <v>0</v>
      </c>
      <c r="AE38" s="76">
        <f t="shared" si="52"/>
        <v>0</v>
      </c>
      <c r="AF38" s="76">
        <f t="shared" si="52"/>
        <v>0</v>
      </c>
      <c r="AG38" s="76">
        <f t="shared" si="52"/>
        <v>0</v>
      </c>
      <c r="AH38" s="76">
        <f t="shared" si="52"/>
        <v>0</v>
      </c>
      <c r="AI38" s="76">
        <f t="shared" si="52"/>
        <v>0</v>
      </c>
      <c r="AJ38" s="76">
        <f t="shared" si="52"/>
        <v>0</v>
      </c>
      <c r="AK38" s="76">
        <f t="shared" si="52"/>
        <v>0</v>
      </c>
      <c r="AL38" s="76">
        <f t="shared" si="52"/>
        <v>0</v>
      </c>
      <c r="AM38" s="76">
        <f t="shared" si="52"/>
        <v>0</v>
      </c>
    </row>
    <row r="39" spans="1:40" x14ac:dyDescent="0.2">
      <c r="O39" s="227"/>
      <c r="P39" s="228"/>
      <c r="Q39" s="228"/>
      <c r="R39" s="229"/>
      <c r="S39" s="31" t="s">
        <v>10</v>
      </c>
      <c r="T39" s="31" t="s">
        <v>12</v>
      </c>
      <c r="U39" s="31" t="s">
        <v>14</v>
      </c>
      <c r="V39" s="31" t="s">
        <v>17</v>
      </c>
      <c r="W39" s="31" t="s">
        <v>11</v>
      </c>
      <c r="X39" s="31" t="s">
        <v>5</v>
      </c>
    </row>
    <row r="40" spans="1:40" x14ac:dyDescent="0.2">
      <c r="O40" s="227"/>
      <c r="P40" s="228"/>
      <c r="Q40" s="228"/>
      <c r="R40" s="229"/>
      <c r="S40" s="31"/>
      <c r="T40" s="31"/>
      <c r="U40" s="31"/>
      <c r="V40" s="31"/>
      <c r="W40" s="31"/>
      <c r="X40" s="31"/>
      <c r="AA40" t="s">
        <v>388</v>
      </c>
      <c r="AB40" s="114"/>
    </row>
    <row r="41" spans="1:40" x14ac:dyDescent="0.2">
      <c r="O41" s="227"/>
      <c r="P41" s="228"/>
      <c r="Q41" s="228"/>
      <c r="R41" s="229"/>
      <c r="S41" s="31"/>
      <c r="T41" s="31"/>
      <c r="U41" s="31"/>
      <c r="V41" s="31"/>
      <c r="W41" s="31"/>
      <c r="X41" s="31"/>
      <c r="AA41" s="76"/>
      <c r="AB41" s="31" t="s">
        <v>205</v>
      </c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</row>
    <row r="42" spans="1:40" x14ac:dyDescent="0.2">
      <c r="O42" s="227"/>
      <c r="P42" s="228"/>
      <c r="Q42" s="228"/>
      <c r="R42" s="229"/>
      <c r="S42" s="31"/>
      <c r="T42" s="31"/>
      <c r="U42" s="31"/>
      <c r="V42" s="31"/>
      <c r="W42" s="31"/>
      <c r="X42" s="31"/>
      <c r="AA42" s="31" t="s">
        <v>10</v>
      </c>
      <c r="AB42" s="76">
        <f>IF(入力・結果表示シート!$C29&lt;&gt;"○",0,IF(B13="",0,IF(B13-DATE(2008,4,2)&gt;=0,0,1)))</f>
        <v>0</v>
      </c>
      <c r="AC42" s="103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>
        <f t="shared" ref="AN42:AN47" si="53">SUM(AB42:AM42)</f>
        <v>0</v>
      </c>
    </row>
    <row r="43" spans="1:40" x14ac:dyDescent="0.2">
      <c r="O43" s="227"/>
      <c r="P43" s="228"/>
      <c r="Q43" s="228"/>
      <c r="R43" s="229"/>
      <c r="S43" s="31"/>
      <c r="T43" s="31"/>
      <c r="U43" s="31"/>
      <c r="V43" s="31"/>
      <c r="W43" s="31"/>
      <c r="X43" s="31"/>
      <c r="AA43" s="31" t="s">
        <v>12</v>
      </c>
      <c r="AB43" s="76">
        <f>IF(入力・結果表示シート!$C30&lt;&gt;"○",0,IF(B14="",0,IF(B14-DATE(2008,4,2)&gt;=0,0,1)))</f>
        <v>0</v>
      </c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>
        <f t="shared" si="53"/>
        <v>0</v>
      </c>
    </row>
    <row r="44" spans="1:40" x14ac:dyDescent="0.2">
      <c r="O44" s="227"/>
      <c r="P44" s="228"/>
      <c r="Q44" s="228"/>
      <c r="R44" s="229"/>
      <c r="S44" s="31"/>
      <c r="T44" s="31"/>
      <c r="U44" s="31"/>
      <c r="V44" s="31"/>
      <c r="W44" s="31"/>
      <c r="X44" s="31"/>
      <c r="AA44" s="31" t="s">
        <v>14</v>
      </c>
      <c r="AB44" s="76">
        <f>IF(入力・結果表示シート!$C31&lt;&gt;"○",0,IF(B15="",0,IF(B15-DATE(2008,4,2)&gt;=0,0,1)))</f>
        <v>0</v>
      </c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>
        <f t="shared" si="53"/>
        <v>0</v>
      </c>
    </row>
    <row r="45" spans="1:40" x14ac:dyDescent="0.2">
      <c r="O45" s="227"/>
      <c r="P45" s="228"/>
      <c r="Q45" s="228"/>
      <c r="R45" s="229"/>
      <c r="S45" s="31"/>
      <c r="T45" s="31"/>
      <c r="U45" s="31"/>
      <c r="V45" s="31"/>
      <c r="W45" s="31"/>
      <c r="X45" s="31"/>
      <c r="AA45" s="31" t="s">
        <v>17</v>
      </c>
      <c r="AB45" s="76">
        <f>IF(入力・結果表示シート!$C32&lt;&gt;"○",0,IF(B16="",0,IF(B16-DATE(2008,4,2)&gt;=0,0,1)))</f>
        <v>0</v>
      </c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>
        <f t="shared" si="53"/>
        <v>0</v>
      </c>
    </row>
    <row r="46" spans="1:40" x14ac:dyDescent="0.2">
      <c r="O46" s="227"/>
      <c r="P46" s="228"/>
      <c r="Q46" s="228"/>
      <c r="R46" s="229"/>
      <c r="S46" s="31"/>
      <c r="T46" s="31"/>
      <c r="U46" s="31"/>
      <c r="V46" s="31"/>
      <c r="W46" s="31"/>
      <c r="X46" s="31"/>
      <c r="AA46" s="31" t="s">
        <v>11</v>
      </c>
      <c r="AB46" s="76">
        <f>IF(入力・結果表示シート!$C33&lt;&gt;"○",0,IF(B17="",0,IF(B17-DATE(2008,4,2)&gt;=0,0,1)))</f>
        <v>0</v>
      </c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>
        <f t="shared" si="53"/>
        <v>0</v>
      </c>
    </row>
    <row r="47" spans="1:40" x14ac:dyDescent="0.2">
      <c r="O47" s="227"/>
      <c r="P47" s="228"/>
      <c r="Q47" s="228"/>
      <c r="R47" s="229"/>
      <c r="S47" s="31"/>
      <c r="T47" s="31"/>
      <c r="U47" s="31"/>
      <c r="V47" s="31"/>
      <c r="W47" s="31"/>
      <c r="X47" s="31"/>
      <c r="AA47" s="31" t="s">
        <v>5</v>
      </c>
      <c r="AB47" s="76">
        <f>IF(入力・結果表示シート!$C34&lt;&gt;"○",0,IF(B18="",0,IF(B18-DATE(2008,4,2)&gt;=0,0,1)))</f>
        <v>0</v>
      </c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>
        <f t="shared" si="53"/>
        <v>0</v>
      </c>
    </row>
    <row r="48" spans="1:40" x14ac:dyDescent="0.2">
      <c r="O48" s="227"/>
      <c r="P48" s="228"/>
      <c r="Q48" s="228"/>
      <c r="R48" s="229"/>
      <c r="S48" s="31"/>
      <c r="T48" s="31"/>
      <c r="U48" s="31"/>
      <c r="V48" s="31"/>
      <c r="W48" s="31"/>
      <c r="X48" s="31"/>
      <c r="AA48" s="31" t="s">
        <v>351</v>
      </c>
      <c r="AB48" s="76">
        <f>SUM(AB42:AB47)</f>
        <v>0</v>
      </c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</row>
    <row r="49" spans="1:40" x14ac:dyDescent="0.2">
      <c r="O49" s="227"/>
      <c r="P49" s="228"/>
      <c r="Q49" s="228"/>
      <c r="R49" s="229"/>
      <c r="S49" s="76" t="str">
        <f>C13</f>
        <v/>
      </c>
      <c r="T49" s="76" t="str">
        <f>C14</f>
        <v/>
      </c>
      <c r="U49" s="76" t="str">
        <f>C15</f>
        <v/>
      </c>
      <c r="V49" s="76" t="str">
        <f>C16</f>
        <v/>
      </c>
      <c r="W49" s="76" t="str">
        <f>C17</f>
        <v/>
      </c>
      <c r="X49" s="76" t="str">
        <f>C18</f>
        <v/>
      </c>
      <c r="Y49" t="s">
        <v>58</v>
      </c>
    </row>
    <row r="50" spans="1:40" x14ac:dyDescent="0.2">
      <c r="A50" s="206" t="s">
        <v>56</v>
      </c>
      <c r="B50" s="184" t="s">
        <v>38</v>
      </c>
      <c r="C50" s="185"/>
      <c r="D50" s="186"/>
      <c r="E50" s="187" t="s">
        <v>43</v>
      </c>
      <c r="F50" s="188"/>
      <c r="G50" s="189"/>
      <c r="H50" s="190" t="s">
        <v>47</v>
      </c>
      <c r="I50" s="191"/>
      <c r="J50" s="192"/>
      <c r="K50" s="193" t="s">
        <v>366</v>
      </c>
      <c r="L50" s="194"/>
      <c r="M50" s="195"/>
      <c r="O50" s="230"/>
      <c r="P50" s="231"/>
      <c r="Q50" s="231"/>
      <c r="R50" s="232"/>
      <c r="S50" s="80">
        <f>入力・結果表示シート!J29</f>
        <v>0</v>
      </c>
      <c r="T50" s="76">
        <f>入力・結果表示シート!J30</f>
        <v>0</v>
      </c>
      <c r="U50" s="76">
        <f>入力・結果表示シート!J31</f>
        <v>0</v>
      </c>
      <c r="V50" s="76">
        <f>入力・結果表示シート!J32</f>
        <v>0</v>
      </c>
      <c r="W50" s="76">
        <f>入力・結果表示シート!J33</f>
        <v>0</v>
      </c>
      <c r="X50" s="76">
        <f>入力・結果表示シート!J34</f>
        <v>0</v>
      </c>
      <c r="Y50" t="s">
        <v>46</v>
      </c>
      <c r="AA50" t="s">
        <v>231</v>
      </c>
    </row>
    <row r="51" spans="1:40" x14ac:dyDescent="0.2">
      <c r="A51" s="210"/>
      <c r="B51" s="83" t="s">
        <v>93</v>
      </c>
      <c r="C51" s="83" t="s">
        <v>94</v>
      </c>
      <c r="D51" s="83" t="s">
        <v>83</v>
      </c>
      <c r="E51" s="83" t="s">
        <v>93</v>
      </c>
      <c r="F51" s="83" t="s">
        <v>94</v>
      </c>
      <c r="G51" s="83" t="s">
        <v>83</v>
      </c>
      <c r="H51" s="83" t="s">
        <v>93</v>
      </c>
      <c r="I51" s="83" t="s">
        <v>94</v>
      </c>
      <c r="J51" s="83" t="s">
        <v>83</v>
      </c>
      <c r="K51" s="83" t="s">
        <v>93</v>
      </c>
      <c r="L51" s="83" t="s">
        <v>94</v>
      </c>
      <c r="M51" s="83" t="s">
        <v>83</v>
      </c>
      <c r="O51" s="208" t="s">
        <v>74</v>
      </c>
      <c r="P51" s="80"/>
      <c r="Q51" s="31" t="s">
        <v>64</v>
      </c>
      <c r="R51" s="80">
        <v>1300000</v>
      </c>
      <c r="S51" s="80" t="str">
        <f t="shared" ref="S51:X51" si="54">IF(AND(S49&lt;65,S50&lt;=$R$51),500000,"")</f>
        <v/>
      </c>
      <c r="T51" s="80" t="str">
        <f t="shared" si="54"/>
        <v/>
      </c>
      <c r="U51" s="80" t="str">
        <f t="shared" si="54"/>
        <v/>
      </c>
      <c r="V51" s="80" t="str">
        <f t="shared" si="54"/>
        <v/>
      </c>
      <c r="W51" s="80" t="str">
        <f t="shared" si="54"/>
        <v/>
      </c>
      <c r="X51" s="80" t="str">
        <f t="shared" si="54"/>
        <v/>
      </c>
      <c r="AA51" s="109"/>
      <c r="AB51" s="109" t="s">
        <v>343</v>
      </c>
      <c r="AC51" s="109" t="s">
        <v>137</v>
      </c>
      <c r="AD51" s="109" t="s">
        <v>344</v>
      </c>
      <c r="AE51" s="109" t="s">
        <v>54</v>
      </c>
      <c r="AF51" s="109" t="s">
        <v>237</v>
      </c>
      <c r="AG51" s="109" t="s">
        <v>346</v>
      </c>
      <c r="AH51" s="109" t="s">
        <v>22</v>
      </c>
      <c r="AI51" s="109" t="s">
        <v>347</v>
      </c>
      <c r="AJ51" s="109" t="s">
        <v>348</v>
      </c>
      <c r="AK51" s="109" t="s">
        <v>72</v>
      </c>
      <c r="AL51" s="109" t="s">
        <v>341</v>
      </c>
      <c r="AM51" s="109" t="s">
        <v>342</v>
      </c>
    </row>
    <row r="52" spans="1:40" x14ac:dyDescent="0.2">
      <c r="A52" s="207"/>
      <c r="B52" s="84">
        <v>8.4000000000000005E-2</v>
      </c>
      <c r="C52" s="88">
        <v>23000</v>
      </c>
      <c r="D52" s="88">
        <v>25000</v>
      </c>
      <c r="E52" s="84">
        <v>2.7E-2</v>
      </c>
      <c r="F52" s="88">
        <v>7600</v>
      </c>
      <c r="G52" s="88">
        <v>7300</v>
      </c>
      <c r="H52" s="84">
        <v>2.1000000000000001E-2</v>
      </c>
      <c r="I52" s="88">
        <v>8700</v>
      </c>
      <c r="J52" s="88">
        <v>4800</v>
      </c>
      <c r="K52" s="84">
        <v>2.8999999999999998E-3</v>
      </c>
      <c r="L52" s="88">
        <v>1100</v>
      </c>
      <c r="M52" s="88">
        <v>1000</v>
      </c>
      <c r="O52" s="142"/>
      <c r="P52" s="80">
        <v>1300001</v>
      </c>
      <c r="Q52" s="31" t="s">
        <v>64</v>
      </c>
      <c r="R52" s="80">
        <v>4100000</v>
      </c>
      <c r="S52" s="80" t="str">
        <f t="shared" ref="S52:X52" si="55">IF(AND(S49&lt;65,$P$52&lt;=S50,S50&lt;=$R$52),ROUNDDOWN(S50*0.25+175000,0),"")</f>
        <v/>
      </c>
      <c r="T52" s="80" t="str">
        <f t="shared" si="55"/>
        <v/>
      </c>
      <c r="U52" s="80" t="str">
        <f t="shared" si="55"/>
        <v/>
      </c>
      <c r="V52" s="80" t="str">
        <f t="shared" si="55"/>
        <v/>
      </c>
      <c r="W52" s="80" t="str">
        <f t="shared" si="55"/>
        <v/>
      </c>
      <c r="X52" s="80" t="str">
        <f t="shared" si="55"/>
        <v/>
      </c>
      <c r="AA52" s="31" t="s">
        <v>10</v>
      </c>
      <c r="AB52" s="80">
        <f t="shared" ref="AB52:AM52" si="56">$B$52*$G$3*AB32/12</f>
        <v>0</v>
      </c>
      <c r="AC52" s="80">
        <f t="shared" si="56"/>
        <v>0</v>
      </c>
      <c r="AD52" s="80">
        <f t="shared" si="56"/>
        <v>0</v>
      </c>
      <c r="AE52" s="80">
        <f t="shared" si="56"/>
        <v>0</v>
      </c>
      <c r="AF52" s="80">
        <f t="shared" si="56"/>
        <v>0</v>
      </c>
      <c r="AG52" s="80">
        <f t="shared" si="56"/>
        <v>0</v>
      </c>
      <c r="AH52" s="80">
        <f t="shared" si="56"/>
        <v>0</v>
      </c>
      <c r="AI52" s="80">
        <f t="shared" si="56"/>
        <v>0</v>
      </c>
      <c r="AJ52" s="80">
        <f t="shared" si="56"/>
        <v>0</v>
      </c>
      <c r="AK52" s="80">
        <f t="shared" si="56"/>
        <v>0</v>
      </c>
      <c r="AL52" s="80">
        <f t="shared" si="56"/>
        <v>0</v>
      </c>
      <c r="AM52" s="80">
        <f t="shared" si="56"/>
        <v>0</v>
      </c>
      <c r="AN52" s="81">
        <f t="shared" ref="AN52:AN58" si="57">SUM(AB52:AM52)</f>
        <v>0</v>
      </c>
    </row>
    <row r="53" spans="1:40" x14ac:dyDescent="0.2">
      <c r="A53" s="31" t="s">
        <v>10</v>
      </c>
      <c r="B53" s="80">
        <f t="shared" ref="B53:B58" si="58">AN52</f>
        <v>0</v>
      </c>
      <c r="C53" s="80">
        <f t="shared" ref="C53:C58" si="59">AN62</f>
        <v>0</v>
      </c>
      <c r="D53" s="215">
        <f>AN72</f>
        <v>0</v>
      </c>
      <c r="E53" s="80">
        <f t="shared" ref="E53:E58" si="60">AN81</f>
        <v>0</v>
      </c>
      <c r="F53" s="80">
        <f t="shared" ref="F53:F58" si="61">AN91</f>
        <v>0</v>
      </c>
      <c r="G53" s="215">
        <f>AN101</f>
        <v>0</v>
      </c>
      <c r="H53" s="80">
        <f t="shared" ref="H53:H58" si="62">AN110</f>
        <v>0</v>
      </c>
      <c r="I53" s="80">
        <f t="shared" ref="I53:I58" si="63">AN120</f>
        <v>0</v>
      </c>
      <c r="J53" s="215">
        <f>AN130</f>
        <v>0</v>
      </c>
      <c r="K53" s="80">
        <f t="shared" ref="K53:K58" si="64">AN139</f>
        <v>0</v>
      </c>
      <c r="L53" s="80">
        <f t="shared" ref="L53:L58" si="65">AN149</f>
        <v>0</v>
      </c>
      <c r="M53" s="215">
        <f>AN159</f>
        <v>0</v>
      </c>
      <c r="O53" s="142"/>
      <c r="P53" s="80">
        <v>4100001</v>
      </c>
      <c r="Q53" s="31" t="s">
        <v>64</v>
      </c>
      <c r="R53" s="80">
        <v>7700000</v>
      </c>
      <c r="S53" s="80" t="str">
        <f t="shared" ref="S53:X53" si="66">IF(AND(S49&lt;65,$P$53&lt;=S50,S50&lt;=$R$53),ROUNDDOWN(S50*0.15+585000,0),"")</f>
        <v/>
      </c>
      <c r="T53" s="80" t="str">
        <f t="shared" si="66"/>
        <v/>
      </c>
      <c r="U53" s="80" t="str">
        <f t="shared" si="66"/>
        <v/>
      </c>
      <c r="V53" s="80" t="str">
        <f t="shared" si="66"/>
        <v/>
      </c>
      <c r="W53" s="80" t="str">
        <f t="shared" si="66"/>
        <v/>
      </c>
      <c r="X53" s="80" t="str">
        <f t="shared" si="66"/>
        <v/>
      </c>
      <c r="AA53" s="31" t="s">
        <v>12</v>
      </c>
      <c r="AB53" s="80">
        <f t="shared" ref="AB53:AM53" si="67">$B$52*$G$4*AB33/12</f>
        <v>0</v>
      </c>
      <c r="AC53" s="80">
        <f t="shared" si="67"/>
        <v>0</v>
      </c>
      <c r="AD53" s="80">
        <f t="shared" si="67"/>
        <v>0</v>
      </c>
      <c r="AE53" s="80">
        <f t="shared" si="67"/>
        <v>0</v>
      </c>
      <c r="AF53" s="80">
        <f t="shared" si="67"/>
        <v>0</v>
      </c>
      <c r="AG53" s="80">
        <f t="shared" si="67"/>
        <v>0</v>
      </c>
      <c r="AH53" s="80">
        <f t="shared" si="67"/>
        <v>0</v>
      </c>
      <c r="AI53" s="80">
        <f t="shared" si="67"/>
        <v>0</v>
      </c>
      <c r="AJ53" s="80">
        <f t="shared" si="67"/>
        <v>0</v>
      </c>
      <c r="AK53" s="80">
        <f t="shared" si="67"/>
        <v>0</v>
      </c>
      <c r="AL53" s="80">
        <f t="shared" si="67"/>
        <v>0</v>
      </c>
      <c r="AM53" s="80">
        <f t="shared" si="67"/>
        <v>0</v>
      </c>
      <c r="AN53" s="81">
        <f t="shared" si="57"/>
        <v>0</v>
      </c>
    </row>
    <row r="54" spans="1:40" x14ac:dyDescent="0.2">
      <c r="A54" s="31" t="s">
        <v>12</v>
      </c>
      <c r="B54" s="80">
        <f t="shared" si="58"/>
        <v>0</v>
      </c>
      <c r="C54" s="80">
        <f t="shared" si="59"/>
        <v>0</v>
      </c>
      <c r="D54" s="216"/>
      <c r="E54" s="80">
        <f t="shared" si="60"/>
        <v>0</v>
      </c>
      <c r="F54" s="80">
        <f t="shared" si="61"/>
        <v>0</v>
      </c>
      <c r="G54" s="216"/>
      <c r="H54" s="80">
        <f t="shared" si="62"/>
        <v>0</v>
      </c>
      <c r="I54" s="80">
        <f t="shared" si="63"/>
        <v>0</v>
      </c>
      <c r="J54" s="216"/>
      <c r="K54" s="80">
        <f t="shared" si="64"/>
        <v>0</v>
      </c>
      <c r="L54" s="80">
        <f t="shared" si="65"/>
        <v>0</v>
      </c>
      <c r="M54" s="216"/>
      <c r="O54" s="142"/>
      <c r="P54" s="80">
        <v>7700001</v>
      </c>
      <c r="Q54" s="31" t="s">
        <v>64</v>
      </c>
      <c r="R54" s="80">
        <v>10000000</v>
      </c>
      <c r="S54" s="80" t="str">
        <f t="shared" ref="S54:X54" si="68">IF(AND(S49&lt;65,$P$54&lt;=S50,S50&lt;=$R$54),ROUNDDOWN(S50*0.05+1355000,0),"")</f>
        <v/>
      </c>
      <c r="T54" s="80" t="str">
        <f t="shared" si="68"/>
        <v/>
      </c>
      <c r="U54" s="80" t="str">
        <f t="shared" si="68"/>
        <v/>
      </c>
      <c r="V54" s="80" t="str">
        <f t="shared" si="68"/>
        <v/>
      </c>
      <c r="W54" s="80" t="str">
        <f t="shared" si="68"/>
        <v/>
      </c>
      <c r="X54" s="80" t="str">
        <f t="shared" si="68"/>
        <v/>
      </c>
      <c r="AA54" s="31" t="s">
        <v>14</v>
      </c>
      <c r="AB54" s="80">
        <f t="shared" ref="AB54:AM54" si="69">$B$52*$G$5*AB34/12</f>
        <v>0</v>
      </c>
      <c r="AC54" s="80">
        <f t="shared" si="69"/>
        <v>0</v>
      </c>
      <c r="AD54" s="80">
        <f t="shared" si="69"/>
        <v>0</v>
      </c>
      <c r="AE54" s="80">
        <f t="shared" si="69"/>
        <v>0</v>
      </c>
      <c r="AF54" s="80">
        <f t="shared" si="69"/>
        <v>0</v>
      </c>
      <c r="AG54" s="80">
        <f t="shared" si="69"/>
        <v>0</v>
      </c>
      <c r="AH54" s="80">
        <f t="shared" si="69"/>
        <v>0</v>
      </c>
      <c r="AI54" s="80">
        <f t="shared" si="69"/>
        <v>0</v>
      </c>
      <c r="AJ54" s="80">
        <f t="shared" si="69"/>
        <v>0</v>
      </c>
      <c r="AK54" s="80">
        <f t="shared" si="69"/>
        <v>0</v>
      </c>
      <c r="AL54" s="80">
        <f t="shared" si="69"/>
        <v>0</v>
      </c>
      <c r="AM54" s="80">
        <f t="shared" si="69"/>
        <v>0</v>
      </c>
      <c r="AN54" s="81">
        <f t="shared" si="57"/>
        <v>0</v>
      </c>
    </row>
    <row r="55" spans="1:40" x14ac:dyDescent="0.2">
      <c r="A55" s="31" t="s">
        <v>14</v>
      </c>
      <c r="B55" s="80">
        <f t="shared" si="58"/>
        <v>0</v>
      </c>
      <c r="C55" s="80">
        <f t="shared" si="59"/>
        <v>0</v>
      </c>
      <c r="D55" s="216"/>
      <c r="E55" s="80">
        <f t="shared" si="60"/>
        <v>0</v>
      </c>
      <c r="F55" s="80">
        <f t="shared" si="61"/>
        <v>0</v>
      </c>
      <c r="G55" s="216"/>
      <c r="H55" s="80">
        <f t="shared" si="62"/>
        <v>0</v>
      </c>
      <c r="I55" s="80">
        <f t="shared" si="63"/>
        <v>0</v>
      </c>
      <c r="J55" s="216"/>
      <c r="K55" s="80">
        <f t="shared" si="64"/>
        <v>0</v>
      </c>
      <c r="L55" s="80">
        <f t="shared" si="65"/>
        <v>0</v>
      </c>
      <c r="M55" s="216"/>
      <c r="O55" s="142"/>
      <c r="P55" s="80">
        <v>10000001</v>
      </c>
      <c r="Q55" s="31"/>
      <c r="R55" s="80"/>
      <c r="S55" s="80" t="str">
        <f t="shared" ref="S55:X55" si="70">IF(AND(S49&lt;65,$P$55&lt;=S50),1855000,"")</f>
        <v/>
      </c>
      <c r="T55" s="80" t="str">
        <f t="shared" si="70"/>
        <v/>
      </c>
      <c r="U55" s="80" t="str">
        <f t="shared" si="70"/>
        <v/>
      </c>
      <c r="V55" s="80" t="str">
        <f t="shared" si="70"/>
        <v/>
      </c>
      <c r="W55" s="80" t="str">
        <f t="shared" si="70"/>
        <v/>
      </c>
      <c r="X55" s="80" t="str">
        <f t="shared" si="70"/>
        <v/>
      </c>
      <c r="AA55" s="31" t="s">
        <v>17</v>
      </c>
      <c r="AB55" s="80">
        <f t="shared" ref="AB55:AM55" si="71">$B$52*$G$6*AB35/12</f>
        <v>0</v>
      </c>
      <c r="AC55" s="80">
        <f t="shared" si="71"/>
        <v>0</v>
      </c>
      <c r="AD55" s="80">
        <f t="shared" si="71"/>
        <v>0</v>
      </c>
      <c r="AE55" s="80">
        <f t="shared" si="71"/>
        <v>0</v>
      </c>
      <c r="AF55" s="80">
        <f t="shared" si="71"/>
        <v>0</v>
      </c>
      <c r="AG55" s="80">
        <f t="shared" si="71"/>
        <v>0</v>
      </c>
      <c r="AH55" s="80">
        <f t="shared" si="71"/>
        <v>0</v>
      </c>
      <c r="AI55" s="80">
        <f t="shared" si="71"/>
        <v>0</v>
      </c>
      <c r="AJ55" s="80">
        <f t="shared" si="71"/>
        <v>0</v>
      </c>
      <c r="AK55" s="80">
        <f t="shared" si="71"/>
        <v>0</v>
      </c>
      <c r="AL55" s="80">
        <f t="shared" si="71"/>
        <v>0</v>
      </c>
      <c r="AM55" s="80">
        <f t="shared" si="71"/>
        <v>0</v>
      </c>
      <c r="AN55" s="81">
        <f t="shared" si="57"/>
        <v>0</v>
      </c>
    </row>
    <row r="56" spans="1:40" x14ac:dyDescent="0.2">
      <c r="A56" s="31" t="s">
        <v>17</v>
      </c>
      <c r="B56" s="80">
        <f t="shared" si="58"/>
        <v>0</v>
      </c>
      <c r="C56" s="80">
        <f t="shared" si="59"/>
        <v>0</v>
      </c>
      <c r="D56" s="216"/>
      <c r="E56" s="80">
        <f t="shared" si="60"/>
        <v>0</v>
      </c>
      <c r="F56" s="80">
        <f t="shared" si="61"/>
        <v>0</v>
      </c>
      <c r="G56" s="216"/>
      <c r="H56" s="80">
        <f t="shared" si="62"/>
        <v>0</v>
      </c>
      <c r="I56" s="80">
        <f t="shared" si="63"/>
        <v>0</v>
      </c>
      <c r="J56" s="216"/>
      <c r="K56" s="80">
        <f t="shared" si="64"/>
        <v>0</v>
      </c>
      <c r="L56" s="80">
        <f t="shared" si="65"/>
        <v>0</v>
      </c>
      <c r="M56" s="216"/>
      <c r="O56" s="208" t="s">
        <v>32</v>
      </c>
      <c r="P56" s="80"/>
      <c r="Q56" s="31" t="s">
        <v>64</v>
      </c>
      <c r="R56" s="80">
        <v>3300000</v>
      </c>
      <c r="S56" s="80">
        <f t="shared" ref="S56:X56" si="72">IF(AND(65&lt;=S49,S50&lt;=$R$56),1000000,"")</f>
        <v>1000000</v>
      </c>
      <c r="T56" s="80">
        <f t="shared" si="72"/>
        <v>1000000</v>
      </c>
      <c r="U56" s="80">
        <f t="shared" si="72"/>
        <v>1000000</v>
      </c>
      <c r="V56" s="80">
        <f t="shared" si="72"/>
        <v>1000000</v>
      </c>
      <c r="W56" s="80">
        <f t="shared" si="72"/>
        <v>1000000</v>
      </c>
      <c r="X56" s="80">
        <f t="shared" si="72"/>
        <v>1000000</v>
      </c>
      <c r="AA56" s="31" t="s">
        <v>11</v>
      </c>
      <c r="AB56" s="80">
        <f t="shared" ref="AB56:AM56" si="73">$B$52*$G$7*AB36/12</f>
        <v>0</v>
      </c>
      <c r="AC56" s="80">
        <f t="shared" si="73"/>
        <v>0</v>
      </c>
      <c r="AD56" s="80">
        <f t="shared" si="73"/>
        <v>0</v>
      </c>
      <c r="AE56" s="80">
        <f t="shared" si="73"/>
        <v>0</v>
      </c>
      <c r="AF56" s="80">
        <f t="shared" si="73"/>
        <v>0</v>
      </c>
      <c r="AG56" s="80">
        <f t="shared" si="73"/>
        <v>0</v>
      </c>
      <c r="AH56" s="80">
        <f t="shared" si="73"/>
        <v>0</v>
      </c>
      <c r="AI56" s="80">
        <f t="shared" si="73"/>
        <v>0</v>
      </c>
      <c r="AJ56" s="80">
        <f t="shared" si="73"/>
        <v>0</v>
      </c>
      <c r="AK56" s="80">
        <f t="shared" si="73"/>
        <v>0</v>
      </c>
      <c r="AL56" s="80">
        <f t="shared" si="73"/>
        <v>0</v>
      </c>
      <c r="AM56" s="80">
        <f t="shared" si="73"/>
        <v>0</v>
      </c>
      <c r="AN56" s="81">
        <f t="shared" si="57"/>
        <v>0</v>
      </c>
    </row>
    <row r="57" spans="1:40" x14ac:dyDescent="0.2">
      <c r="A57" s="31" t="s">
        <v>11</v>
      </c>
      <c r="B57" s="80">
        <f t="shared" si="58"/>
        <v>0</v>
      </c>
      <c r="C57" s="80">
        <f t="shared" si="59"/>
        <v>0</v>
      </c>
      <c r="D57" s="216"/>
      <c r="E57" s="80">
        <f t="shared" si="60"/>
        <v>0</v>
      </c>
      <c r="F57" s="80">
        <f t="shared" si="61"/>
        <v>0</v>
      </c>
      <c r="G57" s="216"/>
      <c r="H57" s="80">
        <f t="shared" si="62"/>
        <v>0</v>
      </c>
      <c r="I57" s="80">
        <f t="shared" si="63"/>
        <v>0</v>
      </c>
      <c r="J57" s="216"/>
      <c r="K57" s="80">
        <f t="shared" si="64"/>
        <v>0</v>
      </c>
      <c r="L57" s="80">
        <f t="shared" si="65"/>
        <v>0</v>
      </c>
      <c r="M57" s="216"/>
      <c r="O57" s="142"/>
      <c r="P57" s="80">
        <v>3300001</v>
      </c>
      <c r="Q57" s="31" t="s">
        <v>64</v>
      </c>
      <c r="R57" s="80">
        <v>4100000</v>
      </c>
      <c r="S57" s="80" t="str">
        <f t="shared" ref="S57:X57" si="74">IF(AND(S49&gt;=65,$P$57&lt;=S50,S50&lt;=$R$57),ROUNDDOWN(S50*0.25+175000,0),"")</f>
        <v/>
      </c>
      <c r="T57" s="80" t="str">
        <f t="shared" si="74"/>
        <v/>
      </c>
      <c r="U57" s="80" t="str">
        <f t="shared" si="74"/>
        <v/>
      </c>
      <c r="V57" s="80" t="str">
        <f t="shared" si="74"/>
        <v/>
      </c>
      <c r="W57" s="80" t="str">
        <f t="shared" si="74"/>
        <v/>
      </c>
      <c r="X57" s="80" t="str">
        <f t="shared" si="74"/>
        <v/>
      </c>
      <c r="AA57" s="31" t="s">
        <v>5</v>
      </c>
      <c r="AB57" s="80">
        <f t="shared" ref="AB57:AM57" si="75">$B$52*$G$8*AB37/12</f>
        <v>0</v>
      </c>
      <c r="AC57" s="80">
        <f t="shared" si="75"/>
        <v>0</v>
      </c>
      <c r="AD57" s="80">
        <f t="shared" si="75"/>
        <v>0</v>
      </c>
      <c r="AE57" s="80">
        <f t="shared" si="75"/>
        <v>0</v>
      </c>
      <c r="AF57" s="80">
        <f t="shared" si="75"/>
        <v>0</v>
      </c>
      <c r="AG57" s="80">
        <f t="shared" si="75"/>
        <v>0</v>
      </c>
      <c r="AH57" s="80">
        <f t="shared" si="75"/>
        <v>0</v>
      </c>
      <c r="AI57" s="80">
        <f t="shared" si="75"/>
        <v>0</v>
      </c>
      <c r="AJ57" s="80">
        <f t="shared" si="75"/>
        <v>0</v>
      </c>
      <c r="AK57" s="80">
        <f t="shared" si="75"/>
        <v>0</v>
      </c>
      <c r="AL57" s="80">
        <f t="shared" si="75"/>
        <v>0</v>
      </c>
      <c r="AM57" s="80">
        <f t="shared" si="75"/>
        <v>0</v>
      </c>
      <c r="AN57" s="81">
        <f t="shared" si="57"/>
        <v>0</v>
      </c>
    </row>
    <row r="58" spans="1:40" x14ac:dyDescent="0.2">
      <c r="A58" s="75" t="s">
        <v>5</v>
      </c>
      <c r="B58" s="80">
        <f t="shared" si="58"/>
        <v>0</v>
      </c>
      <c r="C58" s="80">
        <f t="shared" si="59"/>
        <v>0</v>
      </c>
      <c r="D58" s="217"/>
      <c r="E58" s="80">
        <f t="shared" si="60"/>
        <v>0</v>
      </c>
      <c r="F58" s="80">
        <f t="shared" si="61"/>
        <v>0</v>
      </c>
      <c r="G58" s="217"/>
      <c r="H58" s="96">
        <f t="shared" si="62"/>
        <v>0</v>
      </c>
      <c r="I58" s="96">
        <f t="shared" si="63"/>
        <v>0</v>
      </c>
      <c r="J58" s="217"/>
      <c r="K58" s="96">
        <f t="shared" si="64"/>
        <v>0</v>
      </c>
      <c r="L58" s="96">
        <f t="shared" si="65"/>
        <v>0</v>
      </c>
      <c r="M58" s="217"/>
      <c r="O58" s="142"/>
      <c r="P58" s="80">
        <v>4100001</v>
      </c>
      <c r="Q58" s="31" t="s">
        <v>64</v>
      </c>
      <c r="R58" s="80">
        <v>7700000</v>
      </c>
      <c r="S58" s="80" t="str">
        <f t="shared" ref="S58:X58" si="76">IF(AND(S49&gt;=65,$P$58&lt;=S50,S50&lt;=$R$58),ROUNDDOWN(S50*0.15+585000,0),"")</f>
        <v/>
      </c>
      <c r="T58" s="80" t="str">
        <f t="shared" si="76"/>
        <v/>
      </c>
      <c r="U58" s="80" t="str">
        <f t="shared" si="76"/>
        <v/>
      </c>
      <c r="V58" s="80" t="str">
        <f t="shared" si="76"/>
        <v/>
      </c>
      <c r="W58" s="80" t="str">
        <f t="shared" si="76"/>
        <v/>
      </c>
      <c r="X58" s="80" t="str">
        <f t="shared" si="76"/>
        <v/>
      </c>
      <c r="AA58" s="31" t="s">
        <v>351</v>
      </c>
      <c r="AB58" s="80">
        <f t="shared" ref="AB58:AM58" si="77">SUM(AB52:AB57)</f>
        <v>0</v>
      </c>
      <c r="AC58" s="80">
        <f t="shared" si="77"/>
        <v>0</v>
      </c>
      <c r="AD58" s="80">
        <f t="shared" si="77"/>
        <v>0</v>
      </c>
      <c r="AE58" s="80">
        <f t="shared" si="77"/>
        <v>0</v>
      </c>
      <c r="AF58" s="80">
        <f t="shared" si="77"/>
        <v>0</v>
      </c>
      <c r="AG58" s="80">
        <f t="shared" si="77"/>
        <v>0</v>
      </c>
      <c r="AH58" s="80">
        <f t="shared" si="77"/>
        <v>0</v>
      </c>
      <c r="AI58" s="80">
        <f t="shared" si="77"/>
        <v>0</v>
      </c>
      <c r="AJ58" s="80">
        <f t="shared" si="77"/>
        <v>0</v>
      </c>
      <c r="AK58" s="80">
        <f t="shared" si="77"/>
        <v>0</v>
      </c>
      <c r="AL58" s="80">
        <f t="shared" si="77"/>
        <v>0</v>
      </c>
      <c r="AM58" s="80">
        <f t="shared" si="77"/>
        <v>0</v>
      </c>
      <c r="AN58" s="81">
        <f t="shared" si="57"/>
        <v>0</v>
      </c>
    </row>
    <row r="59" spans="1:40" x14ac:dyDescent="0.2">
      <c r="A59" s="77" t="s">
        <v>84</v>
      </c>
      <c r="B59" s="85">
        <f t="shared" ref="B59:M59" si="78">SUM(B53:B58)</f>
        <v>0</v>
      </c>
      <c r="C59" s="85">
        <f t="shared" si="78"/>
        <v>0</v>
      </c>
      <c r="D59" s="85">
        <f t="shared" si="78"/>
        <v>0</v>
      </c>
      <c r="E59" s="85">
        <f t="shared" si="78"/>
        <v>0</v>
      </c>
      <c r="F59" s="85">
        <f t="shared" si="78"/>
        <v>0</v>
      </c>
      <c r="G59" s="85">
        <f t="shared" si="78"/>
        <v>0</v>
      </c>
      <c r="H59" s="85">
        <f t="shared" si="78"/>
        <v>0</v>
      </c>
      <c r="I59" s="85">
        <f t="shared" si="78"/>
        <v>0</v>
      </c>
      <c r="J59" s="85">
        <f t="shared" si="78"/>
        <v>0</v>
      </c>
      <c r="K59" s="85">
        <f t="shared" si="78"/>
        <v>0</v>
      </c>
      <c r="L59" s="85">
        <f t="shared" si="78"/>
        <v>0</v>
      </c>
      <c r="M59" s="97">
        <f t="shared" si="78"/>
        <v>0</v>
      </c>
      <c r="O59" s="142"/>
      <c r="P59" s="80">
        <v>7700001</v>
      </c>
      <c r="Q59" s="31" t="s">
        <v>64</v>
      </c>
      <c r="R59" s="80">
        <v>10000000</v>
      </c>
      <c r="S59" s="80" t="str">
        <f t="shared" ref="S59:X59" si="79">IF(AND(S49&gt;=65,$P$59&lt;=S50,S50&lt;=$R$59),ROUNDDOWN(S50*0.05+1355000,0),"")</f>
        <v/>
      </c>
      <c r="T59" s="80" t="str">
        <f t="shared" si="79"/>
        <v/>
      </c>
      <c r="U59" s="80" t="str">
        <f t="shared" si="79"/>
        <v/>
      </c>
      <c r="V59" s="80" t="str">
        <f t="shared" si="79"/>
        <v/>
      </c>
      <c r="W59" s="80" t="str">
        <f t="shared" si="79"/>
        <v/>
      </c>
      <c r="X59" s="80" t="str">
        <f t="shared" si="79"/>
        <v/>
      </c>
    </row>
    <row r="60" spans="1:40" x14ac:dyDescent="0.2">
      <c r="A60" s="77" t="s">
        <v>62</v>
      </c>
      <c r="B60" s="196">
        <v>670000</v>
      </c>
      <c r="C60" s="196"/>
      <c r="D60" s="196"/>
      <c r="E60" s="196">
        <v>260000</v>
      </c>
      <c r="F60" s="196"/>
      <c r="G60" s="196"/>
      <c r="H60" s="197">
        <v>170000</v>
      </c>
      <c r="I60" s="197"/>
      <c r="J60" s="197"/>
      <c r="K60" s="197">
        <v>30000</v>
      </c>
      <c r="L60" s="197"/>
      <c r="M60" s="198"/>
      <c r="O60" s="142"/>
      <c r="P60" s="80">
        <v>10000001</v>
      </c>
      <c r="Q60" s="31"/>
      <c r="R60" s="80"/>
      <c r="S60" s="80" t="str">
        <f t="shared" ref="S60:X60" si="80">IF(AND(S49&gt;=65,$P$60&lt;=S50),1855000,"")</f>
        <v/>
      </c>
      <c r="T60" s="80" t="str">
        <f t="shared" si="80"/>
        <v/>
      </c>
      <c r="U60" s="80" t="str">
        <f t="shared" si="80"/>
        <v/>
      </c>
      <c r="V60" s="80" t="str">
        <f t="shared" si="80"/>
        <v/>
      </c>
      <c r="W60" s="80" t="str">
        <f t="shared" si="80"/>
        <v/>
      </c>
      <c r="X60" s="80" t="str">
        <f t="shared" si="80"/>
        <v/>
      </c>
      <c r="AA60" t="s">
        <v>352</v>
      </c>
    </row>
    <row r="61" spans="1:40" x14ac:dyDescent="0.2">
      <c r="A61" s="77" t="s">
        <v>355</v>
      </c>
      <c r="B61" s="199">
        <f>ROUNDDOWN(AN76,-2)</f>
        <v>0</v>
      </c>
      <c r="C61" s="200"/>
      <c r="D61" s="201"/>
      <c r="E61" s="199">
        <f>ROUNDDOWN(AN105,-2)</f>
        <v>0</v>
      </c>
      <c r="F61" s="200"/>
      <c r="G61" s="201"/>
      <c r="H61" s="199">
        <f>ROUNDDOWN(AN134,-2)</f>
        <v>0</v>
      </c>
      <c r="I61" s="200"/>
      <c r="J61" s="201"/>
      <c r="K61" s="199">
        <f>ROUNDDOWN(AN163,-2)</f>
        <v>0</v>
      </c>
      <c r="L61" s="200"/>
      <c r="M61" s="202"/>
      <c r="R61" s="101" t="s">
        <v>76</v>
      </c>
      <c r="S61" s="80">
        <f t="shared" ref="S61:X61" si="81">SUM(S51:S60)</f>
        <v>1000000</v>
      </c>
      <c r="T61" s="80">
        <f t="shared" si="81"/>
        <v>1000000</v>
      </c>
      <c r="U61" s="80">
        <f t="shared" si="81"/>
        <v>1000000</v>
      </c>
      <c r="V61" s="80">
        <f t="shared" si="81"/>
        <v>1000000</v>
      </c>
      <c r="W61" s="80">
        <f t="shared" si="81"/>
        <v>1000000</v>
      </c>
      <c r="X61" s="80">
        <f t="shared" si="81"/>
        <v>1000000</v>
      </c>
      <c r="AA61" s="109"/>
      <c r="AB61" s="109" t="s">
        <v>343</v>
      </c>
      <c r="AC61" s="109" t="s">
        <v>137</v>
      </c>
      <c r="AD61" s="109" t="s">
        <v>344</v>
      </c>
      <c r="AE61" s="109" t="s">
        <v>54</v>
      </c>
      <c r="AF61" s="109" t="s">
        <v>237</v>
      </c>
      <c r="AG61" s="109" t="s">
        <v>346</v>
      </c>
      <c r="AH61" s="109" t="s">
        <v>22</v>
      </c>
      <c r="AI61" s="109" t="s">
        <v>347</v>
      </c>
      <c r="AJ61" s="109" t="s">
        <v>348</v>
      </c>
      <c r="AK61" s="109" t="s">
        <v>72</v>
      </c>
      <c r="AL61" s="109" t="s">
        <v>341</v>
      </c>
      <c r="AM61" s="109" t="s">
        <v>342</v>
      </c>
    </row>
    <row r="62" spans="1:40" x14ac:dyDescent="0.2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R62" s="101" t="s">
        <v>24</v>
      </c>
      <c r="S62" s="80">
        <f t="shared" ref="S62:X62" si="82">IF(S50-S61&gt;=0,S50-S61,0)</f>
        <v>0</v>
      </c>
      <c r="T62" s="80">
        <f t="shared" si="82"/>
        <v>0</v>
      </c>
      <c r="U62" s="80">
        <f t="shared" si="82"/>
        <v>0</v>
      </c>
      <c r="V62" s="80">
        <f t="shared" si="82"/>
        <v>0</v>
      </c>
      <c r="W62" s="80">
        <f t="shared" si="82"/>
        <v>0</v>
      </c>
      <c r="X62" s="80">
        <f t="shared" si="82"/>
        <v>0</v>
      </c>
      <c r="AA62" s="31" t="s">
        <v>10</v>
      </c>
      <c r="AB62" s="80">
        <f t="shared" ref="AB62:AM62" si="83">($C$52-($C$52*$G$25/10)-($C$52*$E$31/10))*AB32/12</f>
        <v>0</v>
      </c>
      <c r="AC62" s="80">
        <f t="shared" si="83"/>
        <v>0</v>
      </c>
      <c r="AD62" s="80">
        <f t="shared" si="83"/>
        <v>0</v>
      </c>
      <c r="AE62" s="80">
        <f t="shared" si="83"/>
        <v>0</v>
      </c>
      <c r="AF62" s="80">
        <f t="shared" si="83"/>
        <v>0</v>
      </c>
      <c r="AG62" s="80">
        <f t="shared" si="83"/>
        <v>0</v>
      </c>
      <c r="AH62" s="80">
        <f t="shared" si="83"/>
        <v>0</v>
      </c>
      <c r="AI62" s="80">
        <f t="shared" si="83"/>
        <v>0</v>
      </c>
      <c r="AJ62" s="80">
        <f t="shared" si="83"/>
        <v>0</v>
      </c>
      <c r="AK62" s="80">
        <f t="shared" si="83"/>
        <v>0</v>
      </c>
      <c r="AL62" s="80">
        <f t="shared" si="83"/>
        <v>0</v>
      </c>
      <c r="AM62" s="80">
        <f t="shared" si="83"/>
        <v>0</v>
      </c>
      <c r="AN62" s="81">
        <f t="shared" ref="AN62:AN68" si="84">SUM(AB62:AM62)</f>
        <v>0</v>
      </c>
    </row>
    <row r="63" spans="1:40" x14ac:dyDescent="0.2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AA63" s="31" t="s">
        <v>12</v>
      </c>
      <c r="AB63" s="80">
        <f t="shared" ref="AB63:AM63" si="85">($C$52-($C$52*$G$25/10)-($C$52*$E$32/10))*AB33/12</f>
        <v>0</v>
      </c>
      <c r="AC63" s="80">
        <f t="shared" si="85"/>
        <v>0</v>
      </c>
      <c r="AD63" s="80">
        <f t="shared" si="85"/>
        <v>0</v>
      </c>
      <c r="AE63" s="80">
        <f t="shared" si="85"/>
        <v>0</v>
      </c>
      <c r="AF63" s="80">
        <f t="shared" si="85"/>
        <v>0</v>
      </c>
      <c r="AG63" s="80">
        <f t="shared" si="85"/>
        <v>0</v>
      </c>
      <c r="AH63" s="80">
        <f t="shared" si="85"/>
        <v>0</v>
      </c>
      <c r="AI63" s="80">
        <f t="shared" si="85"/>
        <v>0</v>
      </c>
      <c r="AJ63" s="80">
        <f t="shared" si="85"/>
        <v>0</v>
      </c>
      <c r="AK63" s="80">
        <f t="shared" si="85"/>
        <v>0</v>
      </c>
      <c r="AL63" s="80">
        <f t="shared" si="85"/>
        <v>0</v>
      </c>
      <c r="AM63" s="80">
        <f t="shared" si="85"/>
        <v>0</v>
      </c>
      <c r="AN63" s="81">
        <f t="shared" si="84"/>
        <v>0</v>
      </c>
    </row>
    <row r="64" spans="1:40" x14ac:dyDescent="0.2">
      <c r="A64" s="218" t="s">
        <v>95</v>
      </c>
      <c r="B64" s="220">
        <f>SUM(B61:M61)</f>
        <v>0</v>
      </c>
      <c r="C64" s="221"/>
      <c r="D64" s="81"/>
      <c r="E64" s="81"/>
      <c r="F64" s="81"/>
      <c r="G64" s="81"/>
      <c r="H64" s="81"/>
      <c r="I64" s="81"/>
      <c r="J64" s="81"/>
      <c r="K64" s="81"/>
      <c r="L64" s="81"/>
      <c r="M64" s="81"/>
      <c r="AA64" s="31" t="s">
        <v>14</v>
      </c>
      <c r="AB64" s="80">
        <f t="shared" ref="AB64:AM64" si="86">($C$52-($C$52*$G$25/10)-($C$52*$E$33/10))*AB34/12</f>
        <v>0</v>
      </c>
      <c r="AC64" s="80">
        <f t="shared" si="86"/>
        <v>0</v>
      </c>
      <c r="AD64" s="80">
        <f t="shared" si="86"/>
        <v>0</v>
      </c>
      <c r="AE64" s="80">
        <f t="shared" si="86"/>
        <v>0</v>
      </c>
      <c r="AF64" s="80">
        <f t="shared" si="86"/>
        <v>0</v>
      </c>
      <c r="AG64" s="80">
        <f t="shared" si="86"/>
        <v>0</v>
      </c>
      <c r="AH64" s="80">
        <f t="shared" si="86"/>
        <v>0</v>
      </c>
      <c r="AI64" s="80">
        <f t="shared" si="86"/>
        <v>0</v>
      </c>
      <c r="AJ64" s="80">
        <f t="shared" si="86"/>
        <v>0</v>
      </c>
      <c r="AK64" s="80">
        <f t="shared" si="86"/>
        <v>0</v>
      </c>
      <c r="AL64" s="80">
        <f t="shared" si="86"/>
        <v>0</v>
      </c>
      <c r="AM64" s="80">
        <f t="shared" si="86"/>
        <v>0</v>
      </c>
      <c r="AN64" s="81">
        <f t="shared" si="84"/>
        <v>0</v>
      </c>
    </row>
    <row r="65" spans="1:40" x14ac:dyDescent="0.2">
      <c r="A65" s="219"/>
      <c r="B65" s="222"/>
      <c r="C65" s="223"/>
      <c r="D65" s="81"/>
      <c r="E65" s="81"/>
      <c r="F65" s="81"/>
      <c r="G65" s="81"/>
      <c r="H65" s="81"/>
      <c r="I65" s="81"/>
      <c r="J65" s="81"/>
      <c r="K65" s="81"/>
      <c r="L65" s="81"/>
      <c r="M65" s="81"/>
      <c r="O65" s="208" t="s">
        <v>55</v>
      </c>
      <c r="P65" s="208"/>
      <c r="Q65" s="208"/>
      <c r="R65" s="208"/>
      <c r="S65" s="181" t="s">
        <v>69</v>
      </c>
      <c r="T65" s="182"/>
      <c r="U65" s="182"/>
      <c r="V65" s="182"/>
      <c r="W65" s="182"/>
      <c r="X65" s="183"/>
      <c r="AA65" s="31" t="s">
        <v>17</v>
      </c>
      <c r="AB65" s="80">
        <f t="shared" ref="AB65:AM65" si="87">($C$52-($C$52*$G$25/10)-($C$52*$E$34/10))*AB35/12</f>
        <v>0</v>
      </c>
      <c r="AC65" s="80">
        <f t="shared" si="87"/>
        <v>0</v>
      </c>
      <c r="AD65" s="80">
        <f t="shared" si="87"/>
        <v>0</v>
      </c>
      <c r="AE65" s="80">
        <f t="shared" si="87"/>
        <v>0</v>
      </c>
      <c r="AF65" s="80">
        <f t="shared" si="87"/>
        <v>0</v>
      </c>
      <c r="AG65" s="80">
        <f t="shared" si="87"/>
        <v>0</v>
      </c>
      <c r="AH65" s="80">
        <f t="shared" si="87"/>
        <v>0</v>
      </c>
      <c r="AI65" s="80">
        <f t="shared" si="87"/>
        <v>0</v>
      </c>
      <c r="AJ65" s="80">
        <f t="shared" si="87"/>
        <v>0</v>
      </c>
      <c r="AK65" s="80">
        <f t="shared" si="87"/>
        <v>0</v>
      </c>
      <c r="AL65" s="80">
        <f t="shared" si="87"/>
        <v>0</v>
      </c>
      <c r="AM65" s="80">
        <f t="shared" si="87"/>
        <v>0</v>
      </c>
      <c r="AN65" s="81">
        <f t="shared" si="84"/>
        <v>0</v>
      </c>
    </row>
    <row r="66" spans="1:40" x14ac:dyDescent="0.2">
      <c r="O66" s="208"/>
      <c r="P66" s="208"/>
      <c r="Q66" s="208"/>
      <c r="R66" s="208"/>
      <c r="S66" s="31" t="s">
        <v>10</v>
      </c>
      <c r="T66" s="31" t="s">
        <v>12</v>
      </c>
      <c r="U66" s="31" t="s">
        <v>14</v>
      </c>
      <c r="V66" s="31" t="s">
        <v>17</v>
      </c>
      <c r="W66" s="31" t="s">
        <v>11</v>
      </c>
      <c r="X66" s="31" t="s">
        <v>5</v>
      </c>
      <c r="AA66" s="31" t="s">
        <v>11</v>
      </c>
      <c r="AB66" s="80">
        <f t="shared" ref="AB66:AM66" si="88">($C$52-($C$52*$G$25/10)-($C$52*$E$35/10))*AB36/12</f>
        <v>0</v>
      </c>
      <c r="AC66" s="80">
        <f t="shared" si="88"/>
        <v>0</v>
      </c>
      <c r="AD66" s="80">
        <f t="shared" si="88"/>
        <v>0</v>
      </c>
      <c r="AE66" s="80">
        <f t="shared" si="88"/>
        <v>0</v>
      </c>
      <c r="AF66" s="80">
        <f t="shared" si="88"/>
        <v>0</v>
      </c>
      <c r="AG66" s="80">
        <f t="shared" si="88"/>
        <v>0</v>
      </c>
      <c r="AH66" s="80">
        <f t="shared" si="88"/>
        <v>0</v>
      </c>
      <c r="AI66" s="80">
        <f t="shared" si="88"/>
        <v>0</v>
      </c>
      <c r="AJ66" s="80">
        <f t="shared" si="88"/>
        <v>0</v>
      </c>
      <c r="AK66" s="80">
        <f t="shared" si="88"/>
        <v>0</v>
      </c>
      <c r="AL66" s="80">
        <f t="shared" si="88"/>
        <v>0</v>
      </c>
      <c r="AM66" s="80">
        <f t="shared" si="88"/>
        <v>0</v>
      </c>
      <c r="AN66" s="81">
        <f t="shared" si="84"/>
        <v>0</v>
      </c>
    </row>
    <row r="67" spans="1:40" x14ac:dyDescent="0.2">
      <c r="O67" s="208"/>
      <c r="P67" s="208"/>
      <c r="Q67" s="208"/>
      <c r="R67" s="208"/>
      <c r="S67" s="76" t="str">
        <f>C13</f>
        <v/>
      </c>
      <c r="T67" s="76" t="str">
        <f>C14</f>
        <v/>
      </c>
      <c r="U67" s="76" t="str">
        <f>C15</f>
        <v/>
      </c>
      <c r="V67" s="76" t="str">
        <f>C16</f>
        <v/>
      </c>
      <c r="W67" s="76" t="str">
        <f>C17</f>
        <v/>
      </c>
      <c r="X67" s="76" t="str">
        <f>C18</f>
        <v/>
      </c>
      <c r="Y67" t="s">
        <v>58</v>
      </c>
      <c r="AA67" s="31" t="s">
        <v>5</v>
      </c>
      <c r="AB67" s="80">
        <f t="shared" ref="AB67:AM67" si="89">($C$52-($C$52*$G$25/10)-($C$52*$E$36/10))*AB37/12</f>
        <v>0</v>
      </c>
      <c r="AC67" s="80">
        <f t="shared" si="89"/>
        <v>0</v>
      </c>
      <c r="AD67" s="80">
        <f t="shared" si="89"/>
        <v>0</v>
      </c>
      <c r="AE67" s="80">
        <f t="shared" si="89"/>
        <v>0</v>
      </c>
      <c r="AF67" s="80">
        <f t="shared" si="89"/>
        <v>0</v>
      </c>
      <c r="AG67" s="80">
        <f t="shared" si="89"/>
        <v>0</v>
      </c>
      <c r="AH67" s="80">
        <f t="shared" si="89"/>
        <v>0</v>
      </c>
      <c r="AI67" s="80">
        <f t="shared" si="89"/>
        <v>0</v>
      </c>
      <c r="AJ67" s="80">
        <f t="shared" si="89"/>
        <v>0</v>
      </c>
      <c r="AK67" s="80">
        <f t="shared" si="89"/>
        <v>0</v>
      </c>
      <c r="AL67" s="80">
        <f t="shared" si="89"/>
        <v>0</v>
      </c>
      <c r="AM67" s="80">
        <f t="shared" si="89"/>
        <v>0</v>
      </c>
      <c r="AN67" s="81">
        <f t="shared" si="84"/>
        <v>0</v>
      </c>
    </row>
    <row r="68" spans="1:40" x14ac:dyDescent="0.2">
      <c r="A68" s="78"/>
      <c r="B68" t="s">
        <v>349</v>
      </c>
      <c r="O68" s="208"/>
      <c r="P68" s="208"/>
      <c r="Q68" s="208"/>
      <c r="R68" s="208"/>
      <c r="S68" s="76">
        <f>入力・結果表示シート!J29</f>
        <v>0</v>
      </c>
      <c r="T68" s="76">
        <f>入力・結果表示シート!J30</f>
        <v>0</v>
      </c>
      <c r="U68" s="76">
        <f>入力・結果表示シート!J31</f>
        <v>0</v>
      </c>
      <c r="V68" s="76">
        <f>入力・結果表示シート!J32</f>
        <v>0</v>
      </c>
      <c r="W68" s="76">
        <f>入力・結果表示シート!J33</f>
        <v>0</v>
      </c>
      <c r="X68" s="76">
        <f>入力・結果表示シート!J34</f>
        <v>0</v>
      </c>
      <c r="Y68" t="s">
        <v>46</v>
      </c>
      <c r="AA68" s="31" t="s">
        <v>351</v>
      </c>
      <c r="AB68" s="80">
        <f t="shared" ref="AB68:AM68" si="90">SUM(AB62:AB67)</f>
        <v>0</v>
      </c>
      <c r="AC68" s="80">
        <f t="shared" si="90"/>
        <v>0</v>
      </c>
      <c r="AD68" s="80">
        <f t="shared" si="90"/>
        <v>0</v>
      </c>
      <c r="AE68" s="80">
        <f t="shared" si="90"/>
        <v>0</v>
      </c>
      <c r="AF68" s="80">
        <f t="shared" si="90"/>
        <v>0</v>
      </c>
      <c r="AG68" s="80">
        <f t="shared" si="90"/>
        <v>0</v>
      </c>
      <c r="AH68" s="80">
        <f t="shared" si="90"/>
        <v>0</v>
      </c>
      <c r="AI68" s="80">
        <f t="shared" si="90"/>
        <v>0</v>
      </c>
      <c r="AJ68" s="80">
        <f t="shared" si="90"/>
        <v>0</v>
      </c>
      <c r="AK68" s="80">
        <f t="shared" si="90"/>
        <v>0</v>
      </c>
      <c r="AL68" s="80">
        <f t="shared" si="90"/>
        <v>0</v>
      </c>
      <c r="AM68" s="80">
        <f t="shared" si="90"/>
        <v>0</v>
      </c>
      <c r="AN68" s="81">
        <f t="shared" si="84"/>
        <v>0</v>
      </c>
    </row>
    <row r="69" spans="1:40" x14ac:dyDescent="0.2">
      <c r="A69" s="79"/>
      <c r="B69" t="s">
        <v>199</v>
      </c>
      <c r="O69" s="208" t="s">
        <v>74</v>
      </c>
      <c r="P69" s="80"/>
      <c r="Q69" s="31" t="s">
        <v>64</v>
      </c>
      <c r="R69" s="80">
        <v>1300000</v>
      </c>
      <c r="S69" s="80" t="str">
        <f t="shared" ref="S69:X69" si="91">IF(AND(S67&lt;65,S68&lt;=$R$69),400000,"")</f>
        <v/>
      </c>
      <c r="T69" s="80" t="str">
        <f t="shared" si="91"/>
        <v/>
      </c>
      <c r="U69" s="80" t="str">
        <f t="shared" si="91"/>
        <v/>
      </c>
      <c r="V69" s="80" t="str">
        <f t="shared" si="91"/>
        <v/>
      </c>
      <c r="W69" s="80" t="str">
        <f t="shared" si="91"/>
        <v/>
      </c>
      <c r="X69" s="80" t="str">
        <f t="shared" si="91"/>
        <v/>
      </c>
    </row>
    <row r="70" spans="1:40" x14ac:dyDescent="0.2">
      <c r="O70" s="142"/>
      <c r="P70" s="80">
        <v>1300001</v>
      </c>
      <c r="Q70" s="31" t="s">
        <v>64</v>
      </c>
      <c r="R70" s="80">
        <v>4100000</v>
      </c>
      <c r="S70" s="80" t="str">
        <f t="shared" ref="S70:X70" si="92">IF(AND(S67&lt;65,$P$70&lt;=S68,S68&lt;=$R$70),ROUNDDOWN(S68*0.25+75000,0),"")</f>
        <v/>
      </c>
      <c r="T70" s="80" t="str">
        <f t="shared" si="92"/>
        <v/>
      </c>
      <c r="U70" s="80" t="str">
        <f t="shared" si="92"/>
        <v/>
      </c>
      <c r="V70" s="80" t="str">
        <f t="shared" si="92"/>
        <v/>
      </c>
      <c r="W70" s="80" t="str">
        <f t="shared" si="92"/>
        <v/>
      </c>
      <c r="X70" s="80" t="str">
        <f t="shared" si="92"/>
        <v/>
      </c>
      <c r="AA70" t="s">
        <v>34</v>
      </c>
    </row>
    <row r="71" spans="1:40" x14ac:dyDescent="0.2">
      <c r="O71" s="142"/>
      <c r="P71" s="80">
        <v>4100001</v>
      </c>
      <c r="Q71" s="31" t="s">
        <v>64</v>
      </c>
      <c r="R71" s="80">
        <v>7700000</v>
      </c>
      <c r="S71" s="80" t="str">
        <f t="shared" ref="S71:X71" si="93">IF(AND(S67&lt;65,$P$71&lt;=S68,S68&lt;=$R$71),ROUNDDOWN(S68*0.15+485000,0),"")</f>
        <v/>
      </c>
      <c r="T71" s="80" t="str">
        <f t="shared" si="93"/>
        <v/>
      </c>
      <c r="U71" s="80" t="str">
        <f t="shared" si="93"/>
        <v/>
      </c>
      <c r="V71" s="80" t="str">
        <f t="shared" si="93"/>
        <v/>
      </c>
      <c r="W71" s="80" t="str">
        <f t="shared" si="93"/>
        <v/>
      </c>
      <c r="X71" s="80" t="str">
        <f t="shared" si="93"/>
        <v/>
      </c>
      <c r="AA71" s="109"/>
      <c r="AB71" s="109" t="s">
        <v>343</v>
      </c>
      <c r="AC71" s="109" t="s">
        <v>137</v>
      </c>
      <c r="AD71" s="109" t="s">
        <v>344</v>
      </c>
      <c r="AE71" s="109" t="s">
        <v>54</v>
      </c>
      <c r="AF71" s="109" t="s">
        <v>237</v>
      </c>
      <c r="AG71" s="109" t="s">
        <v>346</v>
      </c>
      <c r="AH71" s="109" t="s">
        <v>22</v>
      </c>
      <c r="AI71" s="109" t="s">
        <v>347</v>
      </c>
      <c r="AJ71" s="109" t="s">
        <v>348</v>
      </c>
      <c r="AK71" s="109" t="s">
        <v>72</v>
      </c>
      <c r="AL71" s="109" t="s">
        <v>341</v>
      </c>
      <c r="AM71" s="109" t="s">
        <v>342</v>
      </c>
    </row>
    <row r="72" spans="1:40" x14ac:dyDescent="0.2">
      <c r="O72" s="142"/>
      <c r="P72" s="80">
        <v>7700001</v>
      </c>
      <c r="Q72" s="31" t="s">
        <v>64</v>
      </c>
      <c r="R72" s="80">
        <v>10000000</v>
      </c>
      <c r="S72" s="80" t="str">
        <f t="shared" ref="S72:X72" si="94">IF(AND(S67&lt;65,$P$72&lt;=S68,S68&lt;=$R$72),ROUNDDOWN(S68*0.05+1255000,0),"")</f>
        <v/>
      </c>
      <c r="T72" s="80" t="str">
        <f t="shared" si="94"/>
        <v/>
      </c>
      <c r="U72" s="80" t="str">
        <f t="shared" si="94"/>
        <v/>
      </c>
      <c r="V72" s="80" t="str">
        <f t="shared" si="94"/>
        <v/>
      </c>
      <c r="W72" s="80" t="str">
        <f t="shared" si="94"/>
        <v/>
      </c>
      <c r="X72" s="80" t="str">
        <f t="shared" si="94"/>
        <v/>
      </c>
      <c r="AA72" s="31" t="s">
        <v>351</v>
      </c>
      <c r="AB72" s="80">
        <f t="shared" ref="AB72:AM72" si="95">IF(AB38&gt;0,($D$52-($D$52*$G$25/10))/12,0)</f>
        <v>0</v>
      </c>
      <c r="AC72" s="80">
        <f t="shared" si="95"/>
        <v>0</v>
      </c>
      <c r="AD72" s="80">
        <f t="shared" si="95"/>
        <v>0</v>
      </c>
      <c r="AE72" s="80">
        <f t="shared" si="95"/>
        <v>0</v>
      </c>
      <c r="AF72" s="80">
        <f t="shared" si="95"/>
        <v>0</v>
      </c>
      <c r="AG72" s="80">
        <f t="shared" si="95"/>
        <v>0</v>
      </c>
      <c r="AH72" s="80">
        <f t="shared" si="95"/>
        <v>0</v>
      </c>
      <c r="AI72" s="80">
        <f t="shared" si="95"/>
        <v>0</v>
      </c>
      <c r="AJ72" s="80">
        <f t="shared" si="95"/>
        <v>0</v>
      </c>
      <c r="AK72" s="80">
        <f t="shared" si="95"/>
        <v>0</v>
      </c>
      <c r="AL72" s="80">
        <f t="shared" si="95"/>
        <v>0</v>
      </c>
      <c r="AM72" s="80">
        <f t="shared" si="95"/>
        <v>0</v>
      </c>
      <c r="AN72" s="81">
        <f>SUM(AB72:AM72)</f>
        <v>0</v>
      </c>
    </row>
    <row r="73" spans="1:40" x14ac:dyDescent="0.2">
      <c r="O73" s="142"/>
      <c r="P73" s="80">
        <v>10000001</v>
      </c>
      <c r="Q73" s="31"/>
      <c r="R73" s="80"/>
      <c r="S73" s="80" t="str">
        <f t="shared" ref="S73:X73" si="96">IF(AND(S67&lt;65,$P$73&lt;=S68),1755000,"")</f>
        <v/>
      </c>
      <c r="T73" s="80" t="str">
        <f t="shared" si="96"/>
        <v/>
      </c>
      <c r="U73" s="80" t="str">
        <f t="shared" si="96"/>
        <v/>
      </c>
      <c r="V73" s="80" t="str">
        <f t="shared" si="96"/>
        <v/>
      </c>
      <c r="W73" s="80" t="str">
        <f t="shared" si="96"/>
        <v/>
      </c>
      <c r="X73" s="80" t="str">
        <f t="shared" si="96"/>
        <v/>
      </c>
    </row>
    <row r="74" spans="1:40" x14ac:dyDescent="0.2">
      <c r="O74" s="208" t="s">
        <v>32</v>
      </c>
      <c r="P74" s="80"/>
      <c r="Q74" s="31" t="s">
        <v>64</v>
      </c>
      <c r="R74" s="80">
        <v>3300000</v>
      </c>
      <c r="S74" s="80">
        <f t="shared" ref="S74:X74" si="97">IF(AND(65&lt;=S67,S68&lt;=$R$74),900000,"")</f>
        <v>900000</v>
      </c>
      <c r="T74" s="80">
        <f t="shared" si="97"/>
        <v>900000</v>
      </c>
      <c r="U74" s="80">
        <f t="shared" si="97"/>
        <v>900000</v>
      </c>
      <c r="V74" s="80">
        <f t="shared" si="97"/>
        <v>900000</v>
      </c>
      <c r="W74" s="80">
        <f t="shared" si="97"/>
        <v>900000</v>
      </c>
      <c r="X74" s="80">
        <f t="shared" si="97"/>
        <v>900000</v>
      </c>
      <c r="AA74" s="76" t="s">
        <v>354</v>
      </c>
      <c r="AB74" s="80">
        <f t="shared" ref="AB74:AM74" si="98">AB58+AB68+AB72</f>
        <v>0</v>
      </c>
      <c r="AC74" s="80">
        <f t="shared" si="98"/>
        <v>0</v>
      </c>
      <c r="AD74" s="80">
        <f t="shared" si="98"/>
        <v>0</v>
      </c>
      <c r="AE74" s="80">
        <f t="shared" si="98"/>
        <v>0</v>
      </c>
      <c r="AF74" s="80">
        <f t="shared" si="98"/>
        <v>0</v>
      </c>
      <c r="AG74" s="80">
        <f t="shared" si="98"/>
        <v>0</v>
      </c>
      <c r="AH74" s="80">
        <f t="shared" si="98"/>
        <v>0</v>
      </c>
      <c r="AI74" s="80">
        <f t="shared" si="98"/>
        <v>0</v>
      </c>
      <c r="AJ74" s="80">
        <f t="shared" si="98"/>
        <v>0</v>
      </c>
      <c r="AK74" s="80">
        <f t="shared" si="98"/>
        <v>0</v>
      </c>
      <c r="AL74" s="80">
        <f t="shared" si="98"/>
        <v>0</v>
      </c>
      <c r="AM74" s="80">
        <f t="shared" si="98"/>
        <v>0</v>
      </c>
      <c r="AN74" s="81">
        <f>SUM(AB74:AM74)</f>
        <v>0</v>
      </c>
    </row>
    <row r="75" spans="1:40" x14ac:dyDescent="0.2">
      <c r="O75" s="142"/>
      <c r="P75" s="80">
        <v>3300001</v>
      </c>
      <c r="Q75" s="31" t="s">
        <v>64</v>
      </c>
      <c r="R75" s="80">
        <v>4100000</v>
      </c>
      <c r="S75" s="80" t="str">
        <f t="shared" ref="S75:X75" si="99">IF(AND(S67&gt;=65,$P$75&lt;=S68,S68&lt;=$R$75),ROUNDDOWN(S68*0.25+75000,0),"")</f>
        <v/>
      </c>
      <c r="T75" s="80" t="str">
        <f t="shared" si="99"/>
        <v/>
      </c>
      <c r="U75" s="80" t="str">
        <f t="shared" si="99"/>
        <v/>
      </c>
      <c r="V75" s="80" t="str">
        <f t="shared" si="99"/>
        <v/>
      </c>
      <c r="W75" s="80" t="str">
        <f t="shared" si="99"/>
        <v/>
      </c>
      <c r="X75" s="80" t="str">
        <f t="shared" si="99"/>
        <v/>
      </c>
      <c r="AA75" s="76" t="s">
        <v>62</v>
      </c>
      <c r="AB75" s="80">
        <f t="shared" ref="AB75:AM75" si="100">$B$60/12</f>
        <v>55833.333333333336</v>
      </c>
      <c r="AC75" s="80">
        <f t="shared" si="100"/>
        <v>55833.333333333336</v>
      </c>
      <c r="AD75" s="80">
        <f t="shared" si="100"/>
        <v>55833.333333333336</v>
      </c>
      <c r="AE75" s="80">
        <f t="shared" si="100"/>
        <v>55833.333333333336</v>
      </c>
      <c r="AF75" s="80">
        <f t="shared" si="100"/>
        <v>55833.333333333336</v>
      </c>
      <c r="AG75" s="80">
        <f t="shared" si="100"/>
        <v>55833.333333333336</v>
      </c>
      <c r="AH75" s="80">
        <f t="shared" si="100"/>
        <v>55833.333333333336</v>
      </c>
      <c r="AI75" s="80">
        <f t="shared" si="100"/>
        <v>55833.333333333336</v>
      </c>
      <c r="AJ75" s="80">
        <f t="shared" si="100"/>
        <v>55833.333333333336</v>
      </c>
      <c r="AK75" s="80">
        <f t="shared" si="100"/>
        <v>55833.333333333336</v>
      </c>
      <c r="AL75" s="80">
        <f t="shared" si="100"/>
        <v>55833.333333333336</v>
      </c>
      <c r="AM75" s="80">
        <f t="shared" si="100"/>
        <v>55833.333333333336</v>
      </c>
      <c r="AN75" s="81">
        <f>SUM(AB75:AM75)</f>
        <v>670000</v>
      </c>
    </row>
    <row r="76" spans="1:40" x14ac:dyDescent="0.2">
      <c r="O76" s="142"/>
      <c r="P76" s="80">
        <v>4100001</v>
      </c>
      <c r="Q76" s="31" t="s">
        <v>64</v>
      </c>
      <c r="R76" s="80">
        <v>7700000</v>
      </c>
      <c r="S76" s="80" t="str">
        <f t="shared" ref="S76:X76" si="101">IF(AND(S67&gt;=65,$P$76&lt;=S68,S68&lt;=$R$76),ROUNDDOWN(S68*0.15+485000,0),"")</f>
        <v/>
      </c>
      <c r="T76" s="80" t="str">
        <f t="shared" si="101"/>
        <v/>
      </c>
      <c r="U76" s="80" t="str">
        <f t="shared" si="101"/>
        <v/>
      </c>
      <c r="V76" s="80" t="str">
        <f t="shared" si="101"/>
        <v/>
      </c>
      <c r="W76" s="80" t="str">
        <f t="shared" si="101"/>
        <v/>
      </c>
      <c r="X76" s="80" t="str">
        <f t="shared" si="101"/>
        <v/>
      </c>
      <c r="AA76" s="76" t="s">
        <v>353</v>
      </c>
      <c r="AB76" s="80">
        <f t="shared" ref="AB76:AM76" si="102">IF(AB74&gt;=AB75,AB75,AB74)</f>
        <v>0</v>
      </c>
      <c r="AC76" s="80">
        <f t="shared" si="102"/>
        <v>0</v>
      </c>
      <c r="AD76" s="80">
        <f t="shared" si="102"/>
        <v>0</v>
      </c>
      <c r="AE76" s="80">
        <f t="shared" si="102"/>
        <v>0</v>
      </c>
      <c r="AF76" s="80">
        <f t="shared" si="102"/>
        <v>0</v>
      </c>
      <c r="AG76" s="80">
        <f t="shared" si="102"/>
        <v>0</v>
      </c>
      <c r="AH76" s="80">
        <f t="shared" si="102"/>
        <v>0</v>
      </c>
      <c r="AI76" s="80">
        <f t="shared" si="102"/>
        <v>0</v>
      </c>
      <c r="AJ76" s="80">
        <f t="shared" si="102"/>
        <v>0</v>
      </c>
      <c r="AK76" s="80">
        <f t="shared" si="102"/>
        <v>0</v>
      </c>
      <c r="AL76" s="80">
        <f t="shared" si="102"/>
        <v>0</v>
      </c>
      <c r="AM76" s="80">
        <f t="shared" si="102"/>
        <v>0</v>
      </c>
      <c r="AN76" s="81">
        <f>SUM(AB76:AM76)</f>
        <v>0</v>
      </c>
    </row>
    <row r="77" spans="1:40" x14ac:dyDescent="0.2">
      <c r="O77" s="142"/>
      <c r="P77" s="80">
        <v>7700001</v>
      </c>
      <c r="Q77" s="31" t="s">
        <v>64</v>
      </c>
      <c r="R77" s="80">
        <v>10000000</v>
      </c>
      <c r="S77" s="80" t="str">
        <f>IF(AND(S67&gt;=65,$P$77&lt;=S68,S68&lt;=$R$77),ROUNDDOWN(S68*0.05+1255000,0),"")</f>
        <v/>
      </c>
      <c r="T77" s="80" t="str">
        <f>IF(AND(T67&gt;=65,$P$59&lt;=T68,T68&lt;=$R$59),ROUNDDOWN(T68*0.05+1355000,0),"")</f>
        <v/>
      </c>
      <c r="U77" s="80" t="str">
        <f>IF(AND(U67&gt;=65,$P$59&lt;=U68,U68&lt;=$R$59),ROUNDDOWN(U68*0.05+1355000,0),"")</f>
        <v/>
      </c>
      <c r="V77" s="80" t="str">
        <f>IF(AND(V67&gt;=65,$P$59&lt;=V68,V68&lt;=$R$59),ROUNDDOWN(V68*0.05+1355000,0),"")</f>
        <v/>
      </c>
      <c r="W77" s="80" t="str">
        <f>IF(AND(W67&gt;=65,$P$59&lt;=W68,W68&lt;=$R$59),ROUNDDOWN(W68*0.05+1355000,0),"")</f>
        <v/>
      </c>
      <c r="X77" s="80" t="str">
        <f>IF(AND(X67&gt;=65,$P$59&lt;=X68,X68&lt;=$R$59),ROUNDDOWN(X68*0.05+1355000,0),"")</f>
        <v/>
      </c>
    </row>
    <row r="78" spans="1:40" x14ac:dyDescent="0.2">
      <c r="O78" s="142"/>
      <c r="P78" s="80">
        <v>10000001</v>
      </c>
      <c r="Q78" s="31"/>
      <c r="R78" s="80"/>
      <c r="S78" s="80" t="str">
        <f t="shared" ref="S78:X78" si="103">IF(AND(S67&gt;=65,$P$78&lt;=S68),1755000,"")</f>
        <v/>
      </c>
      <c r="T78" s="80" t="str">
        <f t="shared" si="103"/>
        <v/>
      </c>
      <c r="U78" s="80" t="str">
        <f t="shared" si="103"/>
        <v/>
      </c>
      <c r="V78" s="80" t="str">
        <f t="shared" si="103"/>
        <v/>
      </c>
      <c r="W78" s="80" t="str">
        <f t="shared" si="103"/>
        <v/>
      </c>
      <c r="X78" s="80" t="str">
        <f t="shared" si="103"/>
        <v/>
      </c>
    </row>
    <row r="79" spans="1:40" x14ac:dyDescent="0.2">
      <c r="R79" s="101" t="s">
        <v>76</v>
      </c>
      <c r="S79" s="80">
        <f t="shared" ref="S79:X79" si="104">SUM(S69:S78)</f>
        <v>900000</v>
      </c>
      <c r="T79" s="80">
        <f t="shared" si="104"/>
        <v>900000</v>
      </c>
      <c r="U79" s="80">
        <f t="shared" si="104"/>
        <v>900000</v>
      </c>
      <c r="V79" s="80">
        <f t="shared" si="104"/>
        <v>900000</v>
      </c>
      <c r="W79" s="80">
        <f t="shared" si="104"/>
        <v>900000</v>
      </c>
      <c r="X79" s="80">
        <f t="shared" si="104"/>
        <v>900000</v>
      </c>
      <c r="AA79" t="s">
        <v>370</v>
      </c>
    </row>
    <row r="80" spans="1:40" x14ac:dyDescent="0.2">
      <c r="R80" s="101" t="s">
        <v>24</v>
      </c>
      <c r="S80" s="80">
        <f t="shared" ref="S80:X80" si="105">IF(S68-S79&gt;=0,S68-S79,0)</f>
        <v>0</v>
      </c>
      <c r="T80" s="80">
        <f t="shared" si="105"/>
        <v>0</v>
      </c>
      <c r="U80" s="80">
        <f t="shared" si="105"/>
        <v>0</v>
      </c>
      <c r="V80" s="80">
        <f t="shared" si="105"/>
        <v>0</v>
      </c>
      <c r="W80" s="80">
        <f t="shared" si="105"/>
        <v>0</v>
      </c>
      <c r="X80" s="80">
        <f t="shared" si="105"/>
        <v>0</v>
      </c>
      <c r="AA80" s="110"/>
      <c r="AB80" s="110" t="s">
        <v>343</v>
      </c>
      <c r="AC80" s="110" t="s">
        <v>137</v>
      </c>
      <c r="AD80" s="110" t="s">
        <v>344</v>
      </c>
      <c r="AE80" s="110" t="s">
        <v>54</v>
      </c>
      <c r="AF80" s="110" t="s">
        <v>237</v>
      </c>
      <c r="AG80" s="110" t="s">
        <v>346</v>
      </c>
      <c r="AH80" s="110" t="s">
        <v>22</v>
      </c>
      <c r="AI80" s="110" t="s">
        <v>347</v>
      </c>
      <c r="AJ80" s="110" t="s">
        <v>348</v>
      </c>
      <c r="AK80" s="110" t="s">
        <v>72</v>
      </c>
      <c r="AL80" s="110" t="s">
        <v>341</v>
      </c>
      <c r="AM80" s="110" t="s">
        <v>342</v>
      </c>
    </row>
    <row r="81" spans="15:40" x14ac:dyDescent="0.2">
      <c r="AA81" s="31" t="s">
        <v>10</v>
      </c>
      <c r="AB81" s="80">
        <f t="shared" ref="AB81:AM81" si="106">$E$52*$G$3*AB32/12</f>
        <v>0</v>
      </c>
      <c r="AC81" s="80">
        <f t="shared" si="106"/>
        <v>0</v>
      </c>
      <c r="AD81" s="80">
        <f t="shared" si="106"/>
        <v>0</v>
      </c>
      <c r="AE81" s="80">
        <f t="shared" si="106"/>
        <v>0</v>
      </c>
      <c r="AF81" s="80">
        <f t="shared" si="106"/>
        <v>0</v>
      </c>
      <c r="AG81" s="80">
        <f t="shared" si="106"/>
        <v>0</v>
      </c>
      <c r="AH81" s="80">
        <f t="shared" si="106"/>
        <v>0</v>
      </c>
      <c r="AI81" s="80">
        <f t="shared" si="106"/>
        <v>0</v>
      </c>
      <c r="AJ81" s="80">
        <f t="shared" si="106"/>
        <v>0</v>
      </c>
      <c r="AK81" s="80">
        <f t="shared" si="106"/>
        <v>0</v>
      </c>
      <c r="AL81" s="80">
        <f t="shared" si="106"/>
        <v>0</v>
      </c>
      <c r="AM81" s="80">
        <f t="shared" si="106"/>
        <v>0</v>
      </c>
      <c r="AN81" s="81">
        <f t="shared" ref="AN81:AN87" si="107">SUM(AB81:AM81)</f>
        <v>0</v>
      </c>
    </row>
    <row r="82" spans="15:40" x14ac:dyDescent="0.2">
      <c r="AA82" s="31" t="s">
        <v>12</v>
      </c>
      <c r="AB82" s="80">
        <f t="shared" ref="AB82:AM82" si="108">$E$52*$G$4*AB33/12</f>
        <v>0</v>
      </c>
      <c r="AC82" s="80">
        <f t="shared" si="108"/>
        <v>0</v>
      </c>
      <c r="AD82" s="80">
        <f t="shared" si="108"/>
        <v>0</v>
      </c>
      <c r="AE82" s="80">
        <f t="shared" si="108"/>
        <v>0</v>
      </c>
      <c r="AF82" s="80">
        <f t="shared" si="108"/>
        <v>0</v>
      </c>
      <c r="AG82" s="80">
        <f t="shared" si="108"/>
        <v>0</v>
      </c>
      <c r="AH82" s="80">
        <f t="shared" si="108"/>
        <v>0</v>
      </c>
      <c r="AI82" s="80">
        <f t="shared" si="108"/>
        <v>0</v>
      </c>
      <c r="AJ82" s="80">
        <f t="shared" si="108"/>
        <v>0</v>
      </c>
      <c r="AK82" s="80">
        <f t="shared" si="108"/>
        <v>0</v>
      </c>
      <c r="AL82" s="80">
        <f t="shared" si="108"/>
        <v>0</v>
      </c>
      <c r="AM82" s="80">
        <f t="shared" si="108"/>
        <v>0</v>
      </c>
      <c r="AN82" s="81">
        <f t="shared" si="107"/>
        <v>0</v>
      </c>
    </row>
    <row r="83" spans="15:40" x14ac:dyDescent="0.2">
      <c r="S83" s="104" t="s">
        <v>10</v>
      </c>
      <c r="T83" s="104" t="s">
        <v>12</v>
      </c>
      <c r="U83" s="104" t="s">
        <v>14</v>
      </c>
      <c r="V83" s="104" t="s">
        <v>17</v>
      </c>
      <c r="W83" s="104" t="s">
        <v>11</v>
      </c>
      <c r="X83" s="104" t="s">
        <v>5</v>
      </c>
      <c r="AA83" s="31" t="s">
        <v>14</v>
      </c>
      <c r="AB83" s="80">
        <f t="shared" ref="AB83:AM83" si="109">$E$52*$G$5*AB34/12</f>
        <v>0</v>
      </c>
      <c r="AC83" s="80">
        <f t="shared" si="109"/>
        <v>0</v>
      </c>
      <c r="AD83" s="80">
        <f t="shared" si="109"/>
        <v>0</v>
      </c>
      <c r="AE83" s="80">
        <f t="shared" si="109"/>
        <v>0</v>
      </c>
      <c r="AF83" s="80">
        <f t="shared" si="109"/>
        <v>0</v>
      </c>
      <c r="AG83" s="80">
        <f t="shared" si="109"/>
        <v>0</v>
      </c>
      <c r="AH83" s="80">
        <f t="shared" si="109"/>
        <v>0</v>
      </c>
      <c r="AI83" s="80">
        <f t="shared" si="109"/>
        <v>0</v>
      </c>
      <c r="AJ83" s="80">
        <f t="shared" si="109"/>
        <v>0</v>
      </c>
      <c r="AK83" s="80">
        <f t="shared" si="109"/>
        <v>0</v>
      </c>
      <c r="AL83" s="80">
        <f t="shared" si="109"/>
        <v>0</v>
      </c>
      <c r="AM83" s="80">
        <f t="shared" si="109"/>
        <v>0</v>
      </c>
      <c r="AN83" s="81">
        <f t="shared" si="107"/>
        <v>0</v>
      </c>
    </row>
    <row r="84" spans="15:40" x14ac:dyDescent="0.2">
      <c r="R84" s="102" t="s">
        <v>15</v>
      </c>
      <c r="S84" s="105">
        <f>B3+D3</f>
        <v>0</v>
      </c>
      <c r="T84" s="106">
        <f>B4+D4</f>
        <v>0</v>
      </c>
      <c r="U84" s="106">
        <f>B5+D5</f>
        <v>0</v>
      </c>
      <c r="V84" s="106">
        <f>B6+D6</f>
        <v>0</v>
      </c>
      <c r="W84" s="106">
        <f>B7+D7</f>
        <v>0</v>
      </c>
      <c r="X84" s="106">
        <f>B8+D8</f>
        <v>0</v>
      </c>
      <c r="AA84" s="31" t="s">
        <v>17</v>
      </c>
      <c r="AB84" s="80">
        <f t="shared" ref="AB84:AM84" si="110">$E$52*$G$6*AB35/12</f>
        <v>0</v>
      </c>
      <c r="AC84" s="80">
        <f t="shared" si="110"/>
        <v>0</v>
      </c>
      <c r="AD84" s="80">
        <f t="shared" si="110"/>
        <v>0</v>
      </c>
      <c r="AE84" s="80">
        <f t="shared" si="110"/>
        <v>0</v>
      </c>
      <c r="AF84" s="80">
        <f t="shared" si="110"/>
        <v>0</v>
      </c>
      <c r="AG84" s="80">
        <f t="shared" si="110"/>
        <v>0</v>
      </c>
      <c r="AH84" s="80">
        <f t="shared" si="110"/>
        <v>0</v>
      </c>
      <c r="AI84" s="80">
        <f t="shared" si="110"/>
        <v>0</v>
      </c>
      <c r="AJ84" s="80">
        <f t="shared" si="110"/>
        <v>0</v>
      </c>
      <c r="AK84" s="80">
        <f t="shared" si="110"/>
        <v>0</v>
      </c>
      <c r="AL84" s="80">
        <f t="shared" si="110"/>
        <v>0</v>
      </c>
      <c r="AM84" s="80">
        <f t="shared" si="110"/>
        <v>0</v>
      </c>
      <c r="AN84" s="81">
        <f t="shared" si="107"/>
        <v>0</v>
      </c>
    </row>
    <row r="85" spans="15:40" x14ac:dyDescent="0.2">
      <c r="R85" s="102" t="s">
        <v>49</v>
      </c>
      <c r="S85" s="106">
        <f t="shared" ref="S85:X85" si="111">IF(S84&lt;=10000000,S35,IF(AND(10000001&lt;=S84,S84&gt;=20000000),S62,IF(20000001&lt;=S84,S80,0)))</f>
        <v>0</v>
      </c>
      <c r="T85" s="106">
        <f t="shared" si="111"/>
        <v>0</v>
      </c>
      <c r="U85" s="106">
        <f t="shared" si="111"/>
        <v>0</v>
      </c>
      <c r="V85" s="106">
        <f t="shared" si="111"/>
        <v>0</v>
      </c>
      <c r="W85" s="106">
        <f t="shared" si="111"/>
        <v>0</v>
      </c>
      <c r="X85" s="106">
        <f t="shared" si="111"/>
        <v>0</v>
      </c>
      <c r="AA85" s="31" t="s">
        <v>11</v>
      </c>
      <c r="AB85" s="80">
        <f t="shared" ref="AB85:AM85" si="112">$E$52*$G$7*AB36/12</f>
        <v>0</v>
      </c>
      <c r="AC85" s="80">
        <f t="shared" si="112"/>
        <v>0</v>
      </c>
      <c r="AD85" s="80">
        <f t="shared" si="112"/>
        <v>0</v>
      </c>
      <c r="AE85" s="80">
        <f t="shared" si="112"/>
        <v>0</v>
      </c>
      <c r="AF85" s="80">
        <f t="shared" si="112"/>
        <v>0</v>
      </c>
      <c r="AG85" s="80">
        <f t="shared" si="112"/>
        <v>0</v>
      </c>
      <c r="AH85" s="80">
        <f t="shared" si="112"/>
        <v>0</v>
      </c>
      <c r="AI85" s="80">
        <f t="shared" si="112"/>
        <v>0</v>
      </c>
      <c r="AJ85" s="80">
        <f t="shared" si="112"/>
        <v>0</v>
      </c>
      <c r="AK85" s="80">
        <f t="shared" si="112"/>
        <v>0</v>
      </c>
      <c r="AL85" s="80">
        <f t="shared" si="112"/>
        <v>0</v>
      </c>
      <c r="AM85" s="80">
        <f t="shared" si="112"/>
        <v>0</v>
      </c>
      <c r="AN85" s="81">
        <f t="shared" si="107"/>
        <v>0</v>
      </c>
    </row>
    <row r="86" spans="15:40" x14ac:dyDescent="0.2">
      <c r="AA86" s="31" t="s">
        <v>5</v>
      </c>
      <c r="AB86" s="80">
        <f t="shared" ref="AB86:AM86" si="113">$E$52*$G$8*AB37/12</f>
        <v>0</v>
      </c>
      <c r="AC86" s="80">
        <f t="shared" si="113"/>
        <v>0</v>
      </c>
      <c r="AD86" s="80">
        <f t="shared" si="113"/>
        <v>0</v>
      </c>
      <c r="AE86" s="80">
        <f t="shared" si="113"/>
        <v>0</v>
      </c>
      <c r="AF86" s="80">
        <f t="shared" si="113"/>
        <v>0</v>
      </c>
      <c r="AG86" s="80">
        <f t="shared" si="113"/>
        <v>0</v>
      </c>
      <c r="AH86" s="80">
        <f t="shared" si="113"/>
        <v>0</v>
      </c>
      <c r="AI86" s="80">
        <f t="shared" si="113"/>
        <v>0</v>
      </c>
      <c r="AJ86" s="80">
        <f t="shared" si="113"/>
        <v>0</v>
      </c>
      <c r="AK86" s="80">
        <f t="shared" si="113"/>
        <v>0</v>
      </c>
      <c r="AL86" s="80">
        <f t="shared" si="113"/>
        <v>0</v>
      </c>
      <c r="AM86" s="80">
        <f t="shared" si="113"/>
        <v>0</v>
      </c>
      <c r="AN86" s="81">
        <f t="shared" si="107"/>
        <v>0</v>
      </c>
    </row>
    <row r="87" spans="15:40" x14ac:dyDescent="0.2">
      <c r="AA87" s="31" t="s">
        <v>351</v>
      </c>
      <c r="AB87" s="80">
        <f t="shared" ref="AB87:AM87" si="114">SUM(AB81:AB86)</f>
        <v>0</v>
      </c>
      <c r="AC87" s="80">
        <f t="shared" si="114"/>
        <v>0</v>
      </c>
      <c r="AD87" s="80">
        <f t="shared" si="114"/>
        <v>0</v>
      </c>
      <c r="AE87" s="80">
        <f t="shared" si="114"/>
        <v>0</v>
      </c>
      <c r="AF87" s="80">
        <f t="shared" si="114"/>
        <v>0</v>
      </c>
      <c r="AG87" s="80">
        <f t="shared" si="114"/>
        <v>0</v>
      </c>
      <c r="AH87" s="80">
        <f t="shared" si="114"/>
        <v>0</v>
      </c>
      <c r="AI87" s="80">
        <f t="shared" si="114"/>
        <v>0</v>
      </c>
      <c r="AJ87" s="80">
        <f t="shared" si="114"/>
        <v>0</v>
      </c>
      <c r="AK87" s="80">
        <f t="shared" si="114"/>
        <v>0</v>
      </c>
      <c r="AL87" s="80">
        <f t="shared" si="114"/>
        <v>0</v>
      </c>
      <c r="AM87" s="80">
        <f t="shared" si="114"/>
        <v>0</v>
      </c>
      <c r="AN87" s="81">
        <f t="shared" si="107"/>
        <v>0</v>
      </c>
    </row>
    <row r="88" spans="15:40" x14ac:dyDescent="0.2">
      <c r="O88" s="98" t="s">
        <v>336</v>
      </c>
      <c r="P88" s="98"/>
      <c r="Q88" s="100"/>
      <c r="R88" s="98"/>
      <c r="S88" s="98"/>
      <c r="T88" s="98"/>
      <c r="U88" s="98"/>
      <c r="V88" s="98"/>
      <c r="W88" s="98"/>
      <c r="X88" s="98"/>
    </row>
    <row r="89" spans="15:40" x14ac:dyDescent="0.2">
      <c r="O89" s="203" t="s">
        <v>101</v>
      </c>
      <c r="P89" s="204"/>
      <c r="Q89" s="204"/>
      <c r="R89" s="205"/>
      <c r="S89" s="107" t="s">
        <v>10</v>
      </c>
      <c r="T89" s="107" t="s">
        <v>12</v>
      </c>
      <c r="U89" s="107" t="s">
        <v>14</v>
      </c>
      <c r="V89" s="107" t="s">
        <v>17</v>
      </c>
      <c r="W89" s="107" t="s">
        <v>11</v>
      </c>
      <c r="X89" s="107" t="s">
        <v>5</v>
      </c>
      <c r="AA89" t="s">
        <v>321</v>
      </c>
    </row>
    <row r="90" spans="15:40" x14ac:dyDescent="0.2">
      <c r="O90" s="203" t="s">
        <v>337</v>
      </c>
      <c r="P90" s="204"/>
      <c r="Q90" s="204"/>
      <c r="R90" s="205"/>
      <c r="S90" s="108">
        <f t="shared" ref="S90:X90" si="115">IF(S15&gt;=100000,100000,S15)</f>
        <v>0</v>
      </c>
      <c r="T90" s="108">
        <f t="shared" si="115"/>
        <v>0</v>
      </c>
      <c r="U90" s="108">
        <f t="shared" si="115"/>
        <v>0</v>
      </c>
      <c r="V90" s="108">
        <f t="shared" si="115"/>
        <v>0</v>
      </c>
      <c r="W90" s="108">
        <f t="shared" si="115"/>
        <v>0</v>
      </c>
      <c r="X90" s="108">
        <f t="shared" si="115"/>
        <v>0</v>
      </c>
      <c r="AA90" s="110"/>
      <c r="AB90" s="110" t="s">
        <v>343</v>
      </c>
      <c r="AC90" s="110" t="s">
        <v>137</v>
      </c>
      <c r="AD90" s="110" t="s">
        <v>344</v>
      </c>
      <c r="AE90" s="110" t="s">
        <v>54</v>
      </c>
      <c r="AF90" s="110" t="s">
        <v>237</v>
      </c>
      <c r="AG90" s="110" t="s">
        <v>346</v>
      </c>
      <c r="AH90" s="110" t="s">
        <v>22</v>
      </c>
      <c r="AI90" s="110" t="s">
        <v>347</v>
      </c>
      <c r="AJ90" s="110" t="s">
        <v>348</v>
      </c>
      <c r="AK90" s="110" t="s">
        <v>72</v>
      </c>
      <c r="AL90" s="110" t="s">
        <v>341</v>
      </c>
      <c r="AM90" s="110" t="s">
        <v>342</v>
      </c>
    </row>
    <row r="91" spans="15:40" x14ac:dyDescent="0.2">
      <c r="O91" s="203" t="s">
        <v>339</v>
      </c>
      <c r="P91" s="204"/>
      <c r="Q91" s="204"/>
      <c r="R91" s="205"/>
      <c r="S91" s="108">
        <f t="shared" ref="S91:X91" si="116">IF(S85&gt;=100000,100000,S85)</f>
        <v>0</v>
      </c>
      <c r="T91" s="108">
        <f t="shared" si="116"/>
        <v>0</v>
      </c>
      <c r="U91" s="108">
        <f t="shared" si="116"/>
        <v>0</v>
      </c>
      <c r="V91" s="108">
        <f t="shared" si="116"/>
        <v>0</v>
      </c>
      <c r="W91" s="108">
        <f t="shared" si="116"/>
        <v>0</v>
      </c>
      <c r="X91" s="108">
        <f t="shared" si="116"/>
        <v>0</v>
      </c>
      <c r="AA91" s="31" t="s">
        <v>10</v>
      </c>
      <c r="AB91" s="80">
        <f t="shared" ref="AB91:AM91" si="117">($F$52-($F$52*$G$25/10)-($F$52*$E$31/10))*AB32/12</f>
        <v>0</v>
      </c>
      <c r="AC91" s="80">
        <f t="shared" si="117"/>
        <v>0</v>
      </c>
      <c r="AD91" s="80">
        <f t="shared" si="117"/>
        <v>0</v>
      </c>
      <c r="AE91" s="80">
        <f t="shared" si="117"/>
        <v>0</v>
      </c>
      <c r="AF91" s="80">
        <f t="shared" si="117"/>
        <v>0</v>
      </c>
      <c r="AG91" s="80">
        <f t="shared" si="117"/>
        <v>0</v>
      </c>
      <c r="AH91" s="80">
        <f t="shared" si="117"/>
        <v>0</v>
      </c>
      <c r="AI91" s="80">
        <f t="shared" si="117"/>
        <v>0</v>
      </c>
      <c r="AJ91" s="80">
        <f t="shared" si="117"/>
        <v>0</v>
      </c>
      <c r="AK91" s="80">
        <f t="shared" si="117"/>
        <v>0</v>
      </c>
      <c r="AL91" s="80">
        <f t="shared" si="117"/>
        <v>0</v>
      </c>
      <c r="AM91" s="80">
        <f t="shared" si="117"/>
        <v>0</v>
      </c>
      <c r="AN91" s="81">
        <f t="shared" ref="AN91:AN97" si="118">SUM(AB91:AM91)</f>
        <v>0</v>
      </c>
    </row>
    <row r="92" spans="15:40" x14ac:dyDescent="0.2">
      <c r="O92" s="203" t="s">
        <v>35</v>
      </c>
      <c r="P92" s="204"/>
      <c r="Q92" s="204"/>
      <c r="R92" s="205"/>
      <c r="S92" s="108">
        <f t="shared" ref="S92:X92" si="119">IF(SUM(S90:S91)&lt;100000,0,SUM(S90:S91)-100000)</f>
        <v>0</v>
      </c>
      <c r="T92" s="108">
        <f t="shared" si="119"/>
        <v>0</v>
      </c>
      <c r="U92" s="108">
        <f t="shared" si="119"/>
        <v>0</v>
      </c>
      <c r="V92" s="108">
        <f t="shared" si="119"/>
        <v>0</v>
      </c>
      <c r="W92" s="108">
        <f t="shared" si="119"/>
        <v>0</v>
      </c>
      <c r="X92" s="108">
        <f t="shared" si="119"/>
        <v>0</v>
      </c>
      <c r="AA92" s="31" t="s">
        <v>12</v>
      </c>
      <c r="AB92" s="80">
        <f t="shared" ref="AB92:AM92" si="120">($F$52-($F$52*$G$25/10)-($F$52*$E$32/10))*AB33/12</f>
        <v>0</v>
      </c>
      <c r="AC92" s="80">
        <f t="shared" si="120"/>
        <v>0</v>
      </c>
      <c r="AD92" s="80">
        <f t="shared" si="120"/>
        <v>0</v>
      </c>
      <c r="AE92" s="80">
        <f t="shared" si="120"/>
        <v>0</v>
      </c>
      <c r="AF92" s="80">
        <f t="shared" si="120"/>
        <v>0</v>
      </c>
      <c r="AG92" s="80">
        <f t="shared" si="120"/>
        <v>0</v>
      </c>
      <c r="AH92" s="80">
        <f t="shared" si="120"/>
        <v>0</v>
      </c>
      <c r="AI92" s="80">
        <f t="shared" si="120"/>
        <v>0</v>
      </c>
      <c r="AJ92" s="80">
        <f t="shared" si="120"/>
        <v>0</v>
      </c>
      <c r="AK92" s="80">
        <f t="shared" si="120"/>
        <v>0</v>
      </c>
      <c r="AL92" s="80">
        <f t="shared" si="120"/>
        <v>0</v>
      </c>
      <c r="AM92" s="80">
        <f t="shared" si="120"/>
        <v>0</v>
      </c>
      <c r="AN92" s="81">
        <f t="shared" si="118"/>
        <v>0</v>
      </c>
    </row>
    <row r="93" spans="15:40" x14ac:dyDescent="0.2">
      <c r="AA93" s="31" t="s">
        <v>14</v>
      </c>
      <c r="AB93" s="80">
        <f t="shared" ref="AB93:AM93" si="121">($F$52-($F$52*$G$25/10)-($F$52*$E$33/10))*AB34/12</f>
        <v>0</v>
      </c>
      <c r="AC93" s="80">
        <f t="shared" si="121"/>
        <v>0</v>
      </c>
      <c r="AD93" s="80">
        <f t="shared" si="121"/>
        <v>0</v>
      </c>
      <c r="AE93" s="80">
        <f t="shared" si="121"/>
        <v>0</v>
      </c>
      <c r="AF93" s="80">
        <f t="shared" si="121"/>
        <v>0</v>
      </c>
      <c r="AG93" s="80">
        <f t="shared" si="121"/>
        <v>0</v>
      </c>
      <c r="AH93" s="80">
        <f t="shared" si="121"/>
        <v>0</v>
      </c>
      <c r="AI93" s="80">
        <f t="shared" si="121"/>
        <v>0</v>
      </c>
      <c r="AJ93" s="80">
        <f t="shared" si="121"/>
        <v>0</v>
      </c>
      <c r="AK93" s="80">
        <f t="shared" si="121"/>
        <v>0</v>
      </c>
      <c r="AL93" s="80">
        <f t="shared" si="121"/>
        <v>0</v>
      </c>
      <c r="AM93" s="80">
        <f t="shared" si="121"/>
        <v>0</v>
      </c>
      <c r="AN93" s="81">
        <f t="shared" si="118"/>
        <v>0</v>
      </c>
    </row>
    <row r="94" spans="15:40" x14ac:dyDescent="0.2">
      <c r="AA94" s="31" t="s">
        <v>17</v>
      </c>
      <c r="AB94" s="80">
        <f t="shared" ref="AB94:AM94" si="122">($F$52-($F$52*$G$25/10)-($F$52*$E$34/10))*AB35/12</f>
        <v>0</v>
      </c>
      <c r="AC94" s="80">
        <f t="shared" si="122"/>
        <v>0</v>
      </c>
      <c r="AD94" s="80">
        <f t="shared" si="122"/>
        <v>0</v>
      </c>
      <c r="AE94" s="80">
        <f t="shared" si="122"/>
        <v>0</v>
      </c>
      <c r="AF94" s="80">
        <f t="shared" si="122"/>
        <v>0</v>
      </c>
      <c r="AG94" s="80">
        <f t="shared" si="122"/>
        <v>0</v>
      </c>
      <c r="AH94" s="80">
        <f t="shared" si="122"/>
        <v>0</v>
      </c>
      <c r="AI94" s="80">
        <f t="shared" si="122"/>
        <v>0</v>
      </c>
      <c r="AJ94" s="80">
        <f t="shared" si="122"/>
        <v>0</v>
      </c>
      <c r="AK94" s="80">
        <f t="shared" si="122"/>
        <v>0</v>
      </c>
      <c r="AL94" s="80">
        <f t="shared" si="122"/>
        <v>0</v>
      </c>
      <c r="AM94" s="80">
        <f t="shared" si="122"/>
        <v>0</v>
      </c>
      <c r="AN94" s="81">
        <f t="shared" si="118"/>
        <v>0</v>
      </c>
    </row>
    <row r="95" spans="15:40" x14ac:dyDescent="0.2">
      <c r="AA95" s="31" t="s">
        <v>11</v>
      </c>
      <c r="AB95" s="80">
        <f t="shared" ref="AB95:AM95" si="123">($F$52-($F$52*$G$25/10)-($F$52*$E$35/10))*AB36/12</f>
        <v>0</v>
      </c>
      <c r="AC95" s="80">
        <f t="shared" si="123"/>
        <v>0</v>
      </c>
      <c r="AD95" s="80">
        <f t="shared" si="123"/>
        <v>0</v>
      </c>
      <c r="AE95" s="80">
        <f t="shared" si="123"/>
        <v>0</v>
      </c>
      <c r="AF95" s="80">
        <f t="shared" si="123"/>
        <v>0</v>
      </c>
      <c r="AG95" s="80">
        <f t="shared" si="123"/>
        <v>0</v>
      </c>
      <c r="AH95" s="80">
        <f t="shared" si="123"/>
        <v>0</v>
      </c>
      <c r="AI95" s="80">
        <f t="shared" si="123"/>
        <v>0</v>
      </c>
      <c r="AJ95" s="80">
        <f t="shared" si="123"/>
        <v>0</v>
      </c>
      <c r="AK95" s="80">
        <f t="shared" si="123"/>
        <v>0</v>
      </c>
      <c r="AL95" s="80">
        <f t="shared" si="123"/>
        <v>0</v>
      </c>
      <c r="AM95" s="80">
        <f t="shared" si="123"/>
        <v>0</v>
      </c>
      <c r="AN95" s="81">
        <f t="shared" si="118"/>
        <v>0</v>
      </c>
    </row>
    <row r="96" spans="15:40" x14ac:dyDescent="0.2">
      <c r="AA96" s="31" t="s">
        <v>5</v>
      </c>
      <c r="AB96" s="80">
        <f t="shared" ref="AB96:AM96" si="124">($F$52-($F$52*$G$25/10)-($F$52*$E$36/10))*AB37/12</f>
        <v>0</v>
      </c>
      <c r="AC96" s="80">
        <f t="shared" si="124"/>
        <v>0</v>
      </c>
      <c r="AD96" s="80">
        <f t="shared" si="124"/>
        <v>0</v>
      </c>
      <c r="AE96" s="80">
        <f t="shared" si="124"/>
        <v>0</v>
      </c>
      <c r="AF96" s="80">
        <f t="shared" si="124"/>
        <v>0</v>
      </c>
      <c r="AG96" s="80">
        <f t="shared" si="124"/>
        <v>0</v>
      </c>
      <c r="AH96" s="80">
        <f t="shared" si="124"/>
        <v>0</v>
      </c>
      <c r="AI96" s="80">
        <f t="shared" si="124"/>
        <v>0</v>
      </c>
      <c r="AJ96" s="80">
        <f t="shared" si="124"/>
        <v>0</v>
      </c>
      <c r="AK96" s="80">
        <f t="shared" si="124"/>
        <v>0</v>
      </c>
      <c r="AL96" s="80">
        <f t="shared" si="124"/>
        <v>0</v>
      </c>
      <c r="AM96" s="80">
        <f t="shared" si="124"/>
        <v>0</v>
      </c>
      <c r="AN96" s="81">
        <f t="shared" si="118"/>
        <v>0</v>
      </c>
    </row>
    <row r="97" spans="27:40" x14ac:dyDescent="0.2">
      <c r="AA97" s="31" t="s">
        <v>351</v>
      </c>
      <c r="AB97" s="80">
        <f t="shared" ref="AB97:AM97" si="125">SUM(AB91:AB96)</f>
        <v>0</v>
      </c>
      <c r="AC97" s="80">
        <f t="shared" si="125"/>
        <v>0</v>
      </c>
      <c r="AD97" s="80">
        <f t="shared" si="125"/>
        <v>0</v>
      </c>
      <c r="AE97" s="80">
        <f t="shared" si="125"/>
        <v>0</v>
      </c>
      <c r="AF97" s="80">
        <f t="shared" si="125"/>
        <v>0</v>
      </c>
      <c r="AG97" s="80">
        <f t="shared" si="125"/>
        <v>0</v>
      </c>
      <c r="AH97" s="80">
        <f t="shared" si="125"/>
        <v>0</v>
      </c>
      <c r="AI97" s="80">
        <f t="shared" si="125"/>
        <v>0</v>
      </c>
      <c r="AJ97" s="80">
        <f t="shared" si="125"/>
        <v>0</v>
      </c>
      <c r="AK97" s="80">
        <f t="shared" si="125"/>
        <v>0</v>
      </c>
      <c r="AL97" s="80">
        <f t="shared" si="125"/>
        <v>0</v>
      </c>
      <c r="AM97" s="80">
        <f t="shared" si="125"/>
        <v>0</v>
      </c>
      <c r="AN97" s="81">
        <f t="shared" si="118"/>
        <v>0</v>
      </c>
    </row>
    <row r="99" spans="27:40" x14ac:dyDescent="0.2">
      <c r="AA99" t="s">
        <v>371</v>
      </c>
    </row>
    <row r="100" spans="27:40" x14ac:dyDescent="0.2">
      <c r="AA100" s="110"/>
      <c r="AB100" s="110" t="s">
        <v>343</v>
      </c>
      <c r="AC100" s="110" t="s">
        <v>137</v>
      </c>
      <c r="AD100" s="110" t="s">
        <v>344</v>
      </c>
      <c r="AE100" s="110" t="s">
        <v>54</v>
      </c>
      <c r="AF100" s="110" t="s">
        <v>237</v>
      </c>
      <c r="AG100" s="110" t="s">
        <v>346</v>
      </c>
      <c r="AH100" s="110" t="s">
        <v>22</v>
      </c>
      <c r="AI100" s="110" t="s">
        <v>347</v>
      </c>
      <c r="AJ100" s="110" t="s">
        <v>348</v>
      </c>
      <c r="AK100" s="110" t="s">
        <v>72</v>
      </c>
      <c r="AL100" s="110" t="s">
        <v>341</v>
      </c>
      <c r="AM100" s="110" t="s">
        <v>342</v>
      </c>
    </row>
    <row r="101" spans="27:40" x14ac:dyDescent="0.2">
      <c r="AA101" s="31" t="s">
        <v>351</v>
      </c>
      <c r="AB101" s="80">
        <f t="shared" ref="AB101:AM101" si="126">IF(AB38&gt;0,($G$52-($G$52*$G$25/10))/12,0)</f>
        <v>0</v>
      </c>
      <c r="AC101" s="80">
        <f t="shared" si="126"/>
        <v>0</v>
      </c>
      <c r="AD101" s="80">
        <f t="shared" si="126"/>
        <v>0</v>
      </c>
      <c r="AE101" s="80">
        <f t="shared" si="126"/>
        <v>0</v>
      </c>
      <c r="AF101" s="80">
        <f t="shared" si="126"/>
        <v>0</v>
      </c>
      <c r="AG101" s="80">
        <f t="shared" si="126"/>
        <v>0</v>
      </c>
      <c r="AH101" s="80">
        <f t="shared" si="126"/>
        <v>0</v>
      </c>
      <c r="AI101" s="80">
        <f t="shared" si="126"/>
        <v>0</v>
      </c>
      <c r="AJ101" s="80">
        <f t="shared" si="126"/>
        <v>0</v>
      </c>
      <c r="AK101" s="80">
        <f t="shared" si="126"/>
        <v>0</v>
      </c>
      <c r="AL101" s="80">
        <f t="shared" si="126"/>
        <v>0</v>
      </c>
      <c r="AM101" s="80">
        <f t="shared" si="126"/>
        <v>0</v>
      </c>
      <c r="AN101" s="81">
        <f>SUM(AB101:AM101)</f>
        <v>0</v>
      </c>
    </row>
    <row r="103" spans="27:40" x14ac:dyDescent="0.2">
      <c r="AA103" s="76" t="s">
        <v>354</v>
      </c>
      <c r="AB103" s="80">
        <f t="shared" ref="AB103:AM103" si="127">AB87+AB97+AB101</f>
        <v>0</v>
      </c>
      <c r="AC103" s="80">
        <f t="shared" si="127"/>
        <v>0</v>
      </c>
      <c r="AD103" s="80">
        <f t="shared" si="127"/>
        <v>0</v>
      </c>
      <c r="AE103" s="80">
        <f t="shared" si="127"/>
        <v>0</v>
      </c>
      <c r="AF103" s="80">
        <f t="shared" si="127"/>
        <v>0</v>
      </c>
      <c r="AG103" s="80">
        <f t="shared" si="127"/>
        <v>0</v>
      </c>
      <c r="AH103" s="80">
        <f t="shared" si="127"/>
        <v>0</v>
      </c>
      <c r="AI103" s="80">
        <f t="shared" si="127"/>
        <v>0</v>
      </c>
      <c r="AJ103" s="80">
        <f t="shared" si="127"/>
        <v>0</v>
      </c>
      <c r="AK103" s="80">
        <f t="shared" si="127"/>
        <v>0</v>
      </c>
      <c r="AL103" s="80">
        <f t="shared" si="127"/>
        <v>0</v>
      </c>
      <c r="AM103" s="80">
        <f t="shared" si="127"/>
        <v>0</v>
      </c>
      <c r="AN103" s="81">
        <f>SUM(AB103:AM103)</f>
        <v>0</v>
      </c>
    </row>
    <row r="104" spans="27:40" x14ac:dyDescent="0.2">
      <c r="AA104" s="76" t="s">
        <v>62</v>
      </c>
      <c r="AB104" s="80">
        <f t="shared" ref="AB104:AM104" si="128">$E$60/12</f>
        <v>21666.666666666668</v>
      </c>
      <c r="AC104" s="80">
        <f t="shared" si="128"/>
        <v>21666.666666666668</v>
      </c>
      <c r="AD104" s="80">
        <f t="shared" si="128"/>
        <v>21666.666666666668</v>
      </c>
      <c r="AE104" s="80">
        <f t="shared" si="128"/>
        <v>21666.666666666668</v>
      </c>
      <c r="AF104" s="80">
        <f t="shared" si="128"/>
        <v>21666.666666666668</v>
      </c>
      <c r="AG104" s="80">
        <f t="shared" si="128"/>
        <v>21666.666666666668</v>
      </c>
      <c r="AH104" s="80">
        <f t="shared" si="128"/>
        <v>21666.666666666668</v>
      </c>
      <c r="AI104" s="80">
        <f t="shared" si="128"/>
        <v>21666.666666666668</v>
      </c>
      <c r="AJ104" s="80">
        <f t="shared" si="128"/>
        <v>21666.666666666668</v>
      </c>
      <c r="AK104" s="80">
        <f t="shared" si="128"/>
        <v>21666.666666666668</v>
      </c>
      <c r="AL104" s="80">
        <f t="shared" si="128"/>
        <v>21666.666666666668</v>
      </c>
      <c r="AM104" s="80">
        <f t="shared" si="128"/>
        <v>21666.666666666668</v>
      </c>
      <c r="AN104" s="81">
        <f>SUM(AB104:AM104)</f>
        <v>259999.99999999997</v>
      </c>
    </row>
    <row r="105" spans="27:40" x14ac:dyDescent="0.2">
      <c r="AA105" s="76" t="s">
        <v>353</v>
      </c>
      <c r="AB105" s="80">
        <f t="shared" ref="AB105:AM105" si="129">IF(AB103&gt;=AB104,AB104,AB103)</f>
        <v>0</v>
      </c>
      <c r="AC105" s="80">
        <f t="shared" si="129"/>
        <v>0</v>
      </c>
      <c r="AD105" s="80">
        <f t="shared" si="129"/>
        <v>0</v>
      </c>
      <c r="AE105" s="80">
        <f t="shared" si="129"/>
        <v>0</v>
      </c>
      <c r="AF105" s="80">
        <f t="shared" si="129"/>
        <v>0</v>
      </c>
      <c r="AG105" s="80">
        <f t="shared" si="129"/>
        <v>0</v>
      </c>
      <c r="AH105" s="80">
        <f t="shared" si="129"/>
        <v>0</v>
      </c>
      <c r="AI105" s="80">
        <f t="shared" si="129"/>
        <v>0</v>
      </c>
      <c r="AJ105" s="80">
        <f t="shared" si="129"/>
        <v>0</v>
      </c>
      <c r="AK105" s="80">
        <f t="shared" si="129"/>
        <v>0</v>
      </c>
      <c r="AL105" s="80">
        <f t="shared" si="129"/>
        <v>0</v>
      </c>
      <c r="AM105" s="80">
        <f t="shared" si="129"/>
        <v>0</v>
      </c>
      <c r="AN105" s="81">
        <f>SUM(AB105:AM105)</f>
        <v>0</v>
      </c>
    </row>
    <row r="108" spans="27:40" x14ac:dyDescent="0.2">
      <c r="AA108" t="s">
        <v>267</v>
      </c>
    </row>
    <row r="109" spans="27:40" x14ac:dyDescent="0.2">
      <c r="AA109" s="111"/>
      <c r="AB109" s="111" t="s">
        <v>343</v>
      </c>
      <c r="AC109" s="111" t="s">
        <v>137</v>
      </c>
      <c r="AD109" s="111" t="s">
        <v>344</v>
      </c>
      <c r="AE109" s="111" t="s">
        <v>54</v>
      </c>
      <c r="AF109" s="111" t="s">
        <v>237</v>
      </c>
      <c r="AG109" s="111" t="s">
        <v>346</v>
      </c>
      <c r="AH109" s="111" t="s">
        <v>22</v>
      </c>
      <c r="AI109" s="111" t="s">
        <v>347</v>
      </c>
      <c r="AJ109" s="111" t="s">
        <v>348</v>
      </c>
      <c r="AK109" s="111" t="s">
        <v>72</v>
      </c>
      <c r="AL109" s="111" t="s">
        <v>341</v>
      </c>
      <c r="AM109" s="111" t="s">
        <v>342</v>
      </c>
    </row>
    <row r="110" spans="27:40" x14ac:dyDescent="0.2">
      <c r="AA110" s="31" t="s">
        <v>10</v>
      </c>
      <c r="AB110" s="80">
        <f t="shared" ref="AB110:AM110" si="130">$H$52*$G$3*AB12/12</f>
        <v>0</v>
      </c>
      <c r="AC110" s="80">
        <f t="shared" si="130"/>
        <v>0</v>
      </c>
      <c r="AD110" s="80">
        <f t="shared" si="130"/>
        <v>0</v>
      </c>
      <c r="AE110" s="80">
        <f t="shared" si="130"/>
        <v>0</v>
      </c>
      <c r="AF110" s="80">
        <f t="shared" si="130"/>
        <v>0</v>
      </c>
      <c r="AG110" s="80">
        <f t="shared" si="130"/>
        <v>0</v>
      </c>
      <c r="AH110" s="80">
        <f t="shared" si="130"/>
        <v>0</v>
      </c>
      <c r="AI110" s="80">
        <f t="shared" si="130"/>
        <v>0</v>
      </c>
      <c r="AJ110" s="80">
        <f t="shared" si="130"/>
        <v>0</v>
      </c>
      <c r="AK110" s="80">
        <f t="shared" si="130"/>
        <v>0</v>
      </c>
      <c r="AL110" s="80">
        <f t="shared" si="130"/>
        <v>0</v>
      </c>
      <c r="AM110" s="80">
        <f t="shared" si="130"/>
        <v>0</v>
      </c>
      <c r="AN110" s="81">
        <f t="shared" ref="AN110:AN116" si="131">SUM(AB110:AM110)</f>
        <v>0</v>
      </c>
    </row>
    <row r="111" spans="27:40" x14ac:dyDescent="0.2">
      <c r="AA111" s="31" t="s">
        <v>12</v>
      </c>
      <c r="AB111" s="80">
        <f t="shared" ref="AB111:AM111" si="132">$H$52*$G$4*AB13/12</f>
        <v>0</v>
      </c>
      <c r="AC111" s="80">
        <f t="shared" si="132"/>
        <v>0</v>
      </c>
      <c r="AD111" s="80">
        <f t="shared" si="132"/>
        <v>0</v>
      </c>
      <c r="AE111" s="80">
        <f t="shared" si="132"/>
        <v>0</v>
      </c>
      <c r="AF111" s="80">
        <f t="shared" si="132"/>
        <v>0</v>
      </c>
      <c r="AG111" s="80">
        <f t="shared" si="132"/>
        <v>0</v>
      </c>
      <c r="AH111" s="80">
        <f t="shared" si="132"/>
        <v>0</v>
      </c>
      <c r="AI111" s="80">
        <f t="shared" si="132"/>
        <v>0</v>
      </c>
      <c r="AJ111" s="80">
        <f t="shared" si="132"/>
        <v>0</v>
      </c>
      <c r="AK111" s="80">
        <f t="shared" si="132"/>
        <v>0</v>
      </c>
      <c r="AL111" s="80">
        <f t="shared" si="132"/>
        <v>0</v>
      </c>
      <c r="AM111" s="80">
        <f t="shared" si="132"/>
        <v>0</v>
      </c>
      <c r="AN111" s="81">
        <f t="shared" si="131"/>
        <v>0</v>
      </c>
    </row>
    <row r="112" spans="27:40" x14ac:dyDescent="0.2">
      <c r="AA112" s="31" t="s">
        <v>14</v>
      </c>
      <c r="AB112" s="80">
        <f t="shared" ref="AB112:AM112" si="133">$H$52*$G$5*AB14/12</f>
        <v>0</v>
      </c>
      <c r="AC112" s="80">
        <f t="shared" si="133"/>
        <v>0</v>
      </c>
      <c r="AD112" s="80">
        <f t="shared" si="133"/>
        <v>0</v>
      </c>
      <c r="AE112" s="80">
        <f t="shared" si="133"/>
        <v>0</v>
      </c>
      <c r="AF112" s="80">
        <f t="shared" si="133"/>
        <v>0</v>
      </c>
      <c r="AG112" s="80">
        <f t="shared" si="133"/>
        <v>0</v>
      </c>
      <c r="AH112" s="80">
        <f t="shared" si="133"/>
        <v>0</v>
      </c>
      <c r="AI112" s="80">
        <f t="shared" si="133"/>
        <v>0</v>
      </c>
      <c r="AJ112" s="80">
        <f t="shared" si="133"/>
        <v>0</v>
      </c>
      <c r="AK112" s="80">
        <f t="shared" si="133"/>
        <v>0</v>
      </c>
      <c r="AL112" s="80">
        <f t="shared" si="133"/>
        <v>0</v>
      </c>
      <c r="AM112" s="80">
        <f t="shared" si="133"/>
        <v>0</v>
      </c>
      <c r="AN112" s="81">
        <f t="shared" si="131"/>
        <v>0</v>
      </c>
    </row>
    <row r="113" spans="27:40" x14ac:dyDescent="0.2">
      <c r="AA113" s="31" t="s">
        <v>17</v>
      </c>
      <c r="AB113" s="80">
        <f t="shared" ref="AB113:AM113" si="134">$H$52*$G$6*AB15/12</f>
        <v>0</v>
      </c>
      <c r="AC113" s="80">
        <f t="shared" si="134"/>
        <v>0</v>
      </c>
      <c r="AD113" s="80">
        <f t="shared" si="134"/>
        <v>0</v>
      </c>
      <c r="AE113" s="80">
        <f t="shared" si="134"/>
        <v>0</v>
      </c>
      <c r="AF113" s="80">
        <f t="shared" si="134"/>
        <v>0</v>
      </c>
      <c r="AG113" s="80">
        <f t="shared" si="134"/>
        <v>0</v>
      </c>
      <c r="AH113" s="80">
        <f t="shared" si="134"/>
        <v>0</v>
      </c>
      <c r="AI113" s="80">
        <f t="shared" si="134"/>
        <v>0</v>
      </c>
      <c r="AJ113" s="80">
        <f t="shared" si="134"/>
        <v>0</v>
      </c>
      <c r="AK113" s="80">
        <f t="shared" si="134"/>
        <v>0</v>
      </c>
      <c r="AL113" s="80">
        <f t="shared" si="134"/>
        <v>0</v>
      </c>
      <c r="AM113" s="80">
        <f t="shared" si="134"/>
        <v>0</v>
      </c>
      <c r="AN113" s="81">
        <f t="shared" si="131"/>
        <v>0</v>
      </c>
    </row>
    <row r="114" spans="27:40" x14ac:dyDescent="0.2">
      <c r="AA114" s="31" t="s">
        <v>11</v>
      </c>
      <c r="AB114" s="80">
        <f t="shared" ref="AB114:AM114" si="135">$H$52*$G$7*AB17/12</f>
        <v>0</v>
      </c>
      <c r="AC114" s="80">
        <f t="shared" si="135"/>
        <v>0</v>
      </c>
      <c r="AD114" s="80">
        <f t="shared" si="135"/>
        <v>0</v>
      </c>
      <c r="AE114" s="80">
        <f t="shared" si="135"/>
        <v>0</v>
      </c>
      <c r="AF114" s="80">
        <f t="shared" si="135"/>
        <v>0</v>
      </c>
      <c r="AG114" s="80">
        <f t="shared" si="135"/>
        <v>0</v>
      </c>
      <c r="AH114" s="80">
        <f t="shared" si="135"/>
        <v>0</v>
      </c>
      <c r="AI114" s="80">
        <f t="shared" si="135"/>
        <v>0</v>
      </c>
      <c r="AJ114" s="80">
        <f t="shared" si="135"/>
        <v>0</v>
      </c>
      <c r="AK114" s="80">
        <f t="shared" si="135"/>
        <v>0</v>
      </c>
      <c r="AL114" s="80">
        <f t="shared" si="135"/>
        <v>0</v>
      </c>
      <c r="AM114" s="80">
        <f t="shared" si="135"/>
        <v>0</v>
      </c>
      <c r="AN114" s="81">
        <f t="shared" si="131"/>
        <v>0</v>
      </c>
    </row>
    <row r="115" spans="27:40" x14ac:dyDescent="0.2">
      <c r="AA115" s="31" t="s">
        <v>5</v>
      </c>
      <c r="AB115" s="80">
        <f t="shared" ref="AB115:AM115" si="136">$H$52*$G$8*AB17/12</f>
        <v>0</v>
      </c>
      <c r="AC115" s="80">
        <f t="shared" si="136"/>
        <v>0</v>
      </c>
      <c r="AD115" s="80">
        <f t="shared" si="136"/>
        <v>0</v>
      </c>
      <c r="AE115" s="80">
        <f t="shared" si="136"/>
        <v>0</v>
      </c>
      <c r="AF115" s="80">
        <f t="shared" si="136"/>
        <v>0</v>
      </c>
      <c r="AG115" s="80">
        <f t="shared" si="136"/>
        <v>0</v>
      </c>
      <c r="AH115" s="80">
        <f t="shared" si="136"/>
        <v>0</v>
      </c>
      <c r="AI115" s="80">
        <f t="shared" si="136"/>
        <v>0</v>
      </c>
      <c r="AJ115" s="80">
        <f t="shared" si="136"/>
        <v>0</v>
      </c>
      <c r="AK115" s="80">
        <f t="shared" si="136"/>
        <v>0</v>
      </c>
      <c r="AL115" s="80">
        <f t="shared" si="136"/>
        <v>0</v>
      </c>
      <c r="AM115" s="80">
        <f t="shared" si="136"/>
        <v>0</v>
      </c>
      <c r="AN115" s="81">
        <f t="shared" si="131"/>
        <v>0</v>
      </c>
    </row>
    <row r="116" spans="27:40" x14ac:dyDescent="0.2">
      <c r="AA116" s="31" t="s">
        <v>351</v>
      </c>
      <c r="AB116" s="80">
        <f t="shared" ref="AB116:AM116" si="137">SUM(AB110:AB115)</f>
        <v>0</v>
      </c>
      <c r="AC116" s="80">
        <f t="shared" si="137"/>
        <v>0</v>
      </c>
      <c r="AD116" s="80">
        <f t="shared" si="137"/>
        <v>0</v>
      </c>
      <c r="AE116" s="80">
        <f t="shared" si="137"/>
        <v>0</v>
      </c>
      <c r="AF116" s="80">
        <f t="shared" si="137"/>
        <v>0</v>
      </c>
      <c r="AG116" s="80">
        <f t="shared" si="137"/>
        <v>0</v>
      </c>
      <c r="AH116" s="80">
        <f t="shared" si="137"/>
        <v>0</v>
      </c>
      <c r="AI116" s="80">
        <f t="shared" si="137"/>
        <v>0</v>
      </c>
      <c r="AJ116" s="80">
        <f t="shared" si="137"/>
        <v>0</v>
      </c>
      <c r="AK116" s="80">
        <f t="shared" si="137"/>
        <v>0</v>
      </c>
      <c r="AL116" s="80">
        <f t="shared" si="137"/>
        <v>0</v>
      </c>
      <c r="AM116" s="80">
        <f t="shared" si="137"/>
        <v>0</v>
      </c>
      <c r="AN116" s="81">
        <f t="shared" si="131"/>
        <v>0</v>
      </c>
    </row>
    <row r="118" spans="27:40" x14ac:dyDescent="0.2">
      <c r="AA118" t="s">
        <v>332</v>
      </c>
    </row>
    <row r="119" spans="27:40" x14ac:dyDescent="0.2">
      <c r="AA119" s="111"/>
      <c r="AB119" s="111" t="s">
        <v>343</v>
      </c>
      <c r="AC119" s="111" t="s">
        <v>137</v>
      </c>
      <c r="AD119" s="111" t="s">
        <v>344</v>
      </c>
      <c r="AE119" s="111" t="s">
        <v>54</v>
      </c>
      <c r="AF119" s="111" t="s">
        <v>237</v>
      </c>
      <c r="AG119" s="111" t="s">
        <v>346</v>
      </c>
      <c r="AH119" s="111" t="s">
        <v>22</v>
      </c>
      <c r="AI119" s="111" t="s">
        <v>347</v>
      </c>
      <c r="AJ119" s="111" t="s">
        <v>348</v>
      </c>
      <c r="AK119" s="111" t="s">
        <v>72</v>
      </c>
      <c r="AL119" s="111" t="s">
        <v>341</v>
      </c>
      <c r="AM119" s="111" t="s">
        <v>342</v>
      </c>
    </row>
    <row r="120" spans="27:40" x14ac:dyDescent="0.2">
      <c r="AA120" s="31" t="s">
        <v>10</v>
      </c>
      <c r="AB120" s="80">
        <f t="shared" ref="AB120:AM120" si="138">($I$52-($I$52*$G$25/10)-($I$52*$E$31/10))*AB12/12</f>
        <v>0</v>
      </c>
      <c r="AC120" s="80">
        <f t="shared" si="138"/>
        <v>0</v>
      </c>
      <c r="AD120" s="80">
        <f t="shared" si="138"/>
        <v>0</v>
      </c>
      <c r="AE120" s="80">
        <f t="shared" si="138"/>
        <v>0</v>
      </c>
      <c r="AF120" s="80">
        <f t="shared" si="138"/>
        <v>0</v>
      </c>
      <c r="AG120" s="80">
        <f t="shared" si="138"/>
        <v>0</v>
      </c>
      <c r="AH120" s="80">
        <f t="shared" si="138"/>
        <v>0</v>
      </c>
      <c r="AI120" s="80">
        <f t="shared" si="138"/>
        <v>0</v>
      </c>
      <c r="AJ120" s="80">
        <f t="shared" si="138"/>
        <v>0</v>
      </c>
      <c r="AK120" s="80">
        <f t="shared" si="138"/>
        <v>0</v>
      </c>
      <c r="AL120" s="80">
        <f t="shared" si="138"/>
        <v>0</v>
      </c>
      <c r="AM120" s="80">
        <f t="shared" si="138"/>
        <v>0</v>
      </c>
      <c r="AN120" s="81">
        <f t="shared" ref="AN120:AN126" si="139">SUM(AB120:AM120)</f>
        <v>0</v>
      </c>
    </row>
    <row r="121" spans="27:40" x14ac:dyDescent="0.2">
      <c r="AA121" s="31" t="s">
        <v>12</v>
      </c>
      <c r="AB121" s="80">
        <f t="shared" ref="AB121:AM121" si="140">($I$52-($I$52*$G$25/10)-($I$52*$E$32/10))*AB13/12</f>
        <v>0</v>
      </c>
      <c r="AC121" s="80">
        <f t="shared" si="140"/>
        <v>0</v>
      </c>
      <c r="AD121" s="80">
        <f t="shared" si="140"/>
        <v>0</v>
      </c>
      <c r="AE121" s="80">
        <f t="shared" si="140"/>
        <v>0</v>
      </c>
      <c r="AF121" s="80">
        <f t="shared" si="140"/>
        <v>0</v>
      </c>
      <c r="AG121" s="80">
        <f t="shared" si="140"/>
        <v>0</v>
      </c>
      <c r="AH121" s="80">
        <f t="shared" si="140"/>
        <v>0</v>
      </c>
      <c r="AI121" s="80">
        <f t="shared" si="140"/>
        <v>0</v>
      </c>
      <c r="AJ121" s="80">
        <f t="shared" si="140"/>
        <v>0</v>
      </c>
      <c r="AK121" s="80">
        <f t="shared" si="140"/>
        <v>0</v>
      </c>
      <c r="AL121" s="80">
        <f t="shared" si="140"/>
        <v>0</v>
      </c>
      <c r="AM121" s="80">
        <f t="shared" si="140"/>
        <v>0</v>
      </c>
      <c r="AN121" s="81">
        <f t="shared" si="139"/>
        <v>0</v>
      </c>
    </row>
    <row r="122" spans="27:40" x14ac:dyDescent="0.2">
      <c r="AA122" s="31" t="s">
        <v>14</v>
      </c>
      <c r="AB122" s="80">
        <f t="shared" ref="AB122:AM122" si="141">($I$52-($I$52*$G$25/10)-($I$52*$E$33/10))*AB14/12</f>
        <v>0</v>
      </c>
      <c r="AC122" s="80">
        <f t="shared" si="141"/>
        <v>0</v>
      </c>
      <c r="AD122" s="80">
        <f t="shared" si="141"/>
        <v>0</v>
      </c>
      <c r="AE122" s="80">
        <f t="shared" si="141"/>
        <v>0</v>
      </c>
      <c r="AF122" s="80">
        <f t="shared" si="141"/>
        <v>0</v>
      </c>
      <c r="AG122" s="80">
        <f t="shared" si="141"/>
        <v>0</v>
      </c>
      <c r="AH122" s="80">
        <f t="shared" si="141"/>
        <v>0</v>
      </c>
      <c r="AI122" s="80">
        <f t="shared" si="141"/>
        <v>0</v>
      </c>
      <c r="AJ122" s="80">
        <f t="shared" si="141"/>
        <v>0</v>
      </c>
      <c r="AK122" s="80">
        <f t="shared" si="141"/>
        <v>0</v>
      </c>
      <c r="AL122" s="80">
        <f t="shared" si="141"/>
        <v>0</v>
      </c>
      <c r="AM122" s="80">
        <f t="shared" si="141"/>
        <v>0</v>
      </c>
      <c r="AN122" s="81">
        <f t="shared" si="139"/>
        <v>0</v>
      </c>
    </row>
    <row r="123" spans="27:40" x14ac:dyDescent="0.2">
      <c r="AA123" s="31" t="s">
        <v>17</v>
      </c>
      <c r="AB123" s="80">
        <f t="shared" ref="AB123:AM123" si="142">($I$52-($I$52*$G$25/10)-($I$52*$E$34/10))*AB15/12</f>
        <v>0</v>
      </c>
      <c r="AC123" s="80">
        <f t="shared" si="142"/>
        <v>0</v>
      </c>
      <c r="AD123" s="80">
        <f t="shared" si="142"/>
        <v>0</v>
      </c>
      <c r="AE123" s="80">
        <f t="shared" si="142"/>
        <v>0</v>
      </c>
      <c r="AF123" s="80">
        <f t="shared" si="142"/>
        <v>0</v>
      </c>
      <c r="AG123" s="80">
        <f t="shared" si="142"/>
        <v>0</v>
      </c>
      <c r="AH123" s="80">
        <f t="shared" si="142"/>
        <v>0</v>
      </c>
      <c r="AI123" s="80">
        <f t="shared" si="142"/>
        <v>0</v>
      </c>
      <c r="AJ123" s="80">
        <f t="shared" si="142"/>
        <v>0</v>
      </c>
      <c r="AK123" s="80">
        <f t="shared" si="142"/>
        <v>0</v>
      </c>
      <c r="AL123" s="80">
        <f t="shared" si="142"/>
        <v>0</v>
      </c>
      <c r="AM123" s="80">
        <f t="shared" si="142"/>
        <v>0</v>
      </c>
      <c r="AN123" s="81">
        <f t="shared" si="139"/>
        <v>0</v>
      </c>
    </row>
    <row r="124" spans="27:40" x14ac:dyDescent="0.2">
      <c r="AA124" s="31" t="s">
        <v>11</v>
      </c>
      <c r="AB124" s="80">
        <f t="shared" ref="AB124:AM124" si="143">($I$52-($I$52*$G$25/10)-($I$52*$E$35/10))*AB16/12</f>
        <v>0</v>
      </c>
      <c r="AC124" s="80">
        <f t="shared" si="143"/>
        <v>0</v>
      </c>
      <c r="AD124" s="80">
        <f t="shared" si="143"/>
        <v>0</v>
      </c>
      <c r="AE124" s="80">
        <f t="shared" si="143"/>
        <v>0</v>
      </c>
      <c r="AF124" s="80">
        <f t="shared" si="143"/>
        <v>0</v>
      </c>
      <c r="AG124" s="80">
        <f t="shared" si="143"/>
        <v>0</v>
      </c>
      <c r="AH124" s="80">
        <f t="shared" si="143"/>
        <v>0</v>
      </c>
      <c r="AI124" s="80">
        <f t="shared" si="143"/>
        <v>0</v>
      </c>
      <c r="AJ124" s="80">
        <f t="shared" si="143"/>
        <v>0</v>
      </c>
      <c r="AK124" s="80">
        <f t="shared" si="143"/>
        <v>0</v>
      </c>
      <c r="AL124" s="80">
        <f t="shared" si="143"/>
        <v>0</v>
      </c>
      <c r="AM124" s="80">
        <f t="shared" si="143"/>
        <v>0</v>
      </c>
      <c r="AN124" s="81">
        <f t="shared" si="139"/>
        <v>0</v>
      </c>
    </row>
    <row r="125" spans="27:40" x14ac:dyDescent="0.2">
      <c r="AA125" s="31" t="s">
        <v>5</v>
      </c>
      <c r="AB125" s="80">
        <f t="shared" ref="AB125:AM125" si="144">($I$52-($I$52*$G$25/10)-($I$52*$E$36/10))*AB17/12</f>
        <v>0</v>
      </c>
      <c r="AC125" s="80">
        <f t="shared" si="144"/>
        <v>0</v>
      </c>
      <c r="AD125" s="80">
        <f t="shared" si="144"/>
        <v>0</v>
      </c>
      <c r="AE125" s="80">
        <f t="shared" si="144"/>
        <v>0</v>
      </c>
      <c r="AF125" s="80">
        <f t="shared" si="144"/>
        <v>0</v>
      </c>
      <c r="AG125" s="80">
        <f t="shared" si="144"/>
        <v>0</v>
      </c>
      <c r="AH125" s="80">
        <f t="shared" si="144"/>
        <v>0</v>
      </c>
      <c r="AI125" s="80">
        <f t="shared" si="144"/>
        <v>0</v>
      </c>
      <c r="AJ125" s="80">
        <f t="shared" si="144"/>
        <v>0</v>
      </c>
      <c r="AK125" s="80">
        <f t="shared" si="144"/>
        <v>0</v>
      </c>
      <c r="AL125" s="80">
        <f t="shared" si="144"/>
        <v>0</v>
      </c>
      <c r="AM125" s="80">
        <f t="shared" si="144"/>
        <v>0</v>
      </c>
      <c r="AN125" s="81">
        <f t="shared" si="139"/>
        <v>0</v>
      </c>
    </row>
    <row r="126" spans="27:40" x14ac:dyDescent="0.2">
      <c r="AA126" s="31" t="s">
        <v>351</v>
      </c>
      <c r="AB126" s="80">
        <f t="shared" ref="AB126:AM126" si="145">SUM(AB120:AB125)</f>
        <v>0</v>
      </c>
      <c r="AC126" s="80">
        <f t="shared" si="145"/>
        <v>0</v>
      </c>
      <c r="AD126" s="80">
        <f t="shared" si="145"/>
        <v>0</v>
      </c>
      <c r="AE126" s="80">
        <f t="shared" si="145"/>
        <v>0</v>
      </c>
      <c r="AF126" s="80">
        <f t="shared" si="145"/>
        <v>0</v>
      </c>
      <c r="AG126" s="80">
        <f t="shared" si="145"/>
        <v>0</v>
      </c>
      <c r="AH126" s="80">
        <f t="shared" si="145"/>
        <v>0</v>
      </c>
      <c r="AI126" s="80">
        <f t="shared" si="145"/>
        <v>0</v>
      </c>
      <c r="AJ126" s="80">
        <f t="shared" si="145"/>
        <v>0</v>
      </c>
      <c r="AK126" s="80">
        <f t="shared" si="145"/>
        <v>0</v>
      </c>
      <c r="AL126" s="80">
        <f t="shared" si="145"/>
        <v>0</v>
      </c>
      <c r="AM126" s="80">
        <f t="shared" si="145"/>
        <v>0</v>
      </c>
      <c r="AN126" s="81">
        <f t="shared" si="139"/>
        <v>0</v>
      </c>
    </row>
    <row r="128" spans="27:40" x14ac:dyDescent="0.2">
      <c r="AA128" t="s">
        <v>61</v>
      </c>
    </row>
    <row r="129" spans="27:40" x14ac:dyDescent="0.2">
      <c r="AA129" s="111"/>
      <c r="AB129" s="111" t="s">
        <v>343</v>
      </c>
      <c r="AC129" s="111" t="s">
        <v>137</v>
      </c>
      <c r="AD129" s="111" t="s">
        <v>344</v>
      </c>
      <c r="AE129" s="111" t="s">
        <v>54</v>
      </c>
      <c r="AF129" s="111" t="s">
        <v>237</v>
      </c>
      <c r="AG129" s="111" t="s">
        <v>346</v>
      </c>
      <c r="AH129" s="111" t="s">
        <v>22</v>
      </c>
      <c r="AI129" s="111" t="s">
        <v>347</v>
      </c>
      <c r="AJ129" s="111" t="s">
        <v>348</v>
      </c>
      <c r="AK129" s="111" t="s">
        <v>72</v>
      </c>
      <c r="AL129" s="111" t="s">
        <v>341</v>
      </c>
      <c r="AM129" s="111" t="s">
        <v>342</v>
      </c>
    </row>
    <row r="130" spans="27:40" x14ac:dyDescent="0.2">
      <c r="AA130" s="31" t="s">
        <v>351</v>
      </c>
      <c r="AB130" s="80">
        <f t="shared" ref="AB130:AM130" si="146">IF(AB18&gt;0,($J$52-($J$52*$G$25/10))/12,0)</f>
        <v>0</v>
      </c>
      <c r="AC130" s="80">
        <f t="shared" si="146"/>
        <v>0</v>
      </c>
      <c r="AD130" s="80">
        <f t="shared" si="146"/>
        <v>0</v>
      </c>
      <c r="AE130" s="80">
        <f t="shared" si="146"/>
        <v>0</v>
      </c>
      <c r="AF130" s="80">
        <f t="shared" si="146"/>
        <v>0</v>
      </c>
      <c r="AG130" s="80">
        <f t="shared" si="146"/>
        <v>0</v>
      </c>
      <c r="AH130" s="80">
        <f t="shared" si="146"/>
        <v>0</v>
      </c>
      <c r="AI130" s="80">
        <f t="shared" si="146"/>
        <v>0</v>
      </c>
      <c r="AJ130" s="80">
        <f t="shared" si="146"/>
        <v>0</v>
      </c>
      <c r="AK130" s="80">
        <f t="shared" si="146"/>
        <v>0</v>
      </c>
      <c r="AL130" s="80">
        <f t="shared" si="146"/>
        <v>0</v>
      </c>
      <c r="AM130" s="80">
        <f t="shared" si="146"/>
        <v>0</v>
      </c>
      <c r="AN130" s="81">
        <f>SUM(AB130:AM130)</f>
        <v>0</v>
      </c>
    </row>
    <row r="132" spans="27:40" x14ac:dyDescent="0.2">
      <c r="AA132" s="76" t="s">
        <v>354</v>
      </c>
      <c r="AB132" s="80">
        <f t="shared" ref="AB132:AM132" si="147">AB116+AB126+AB130</f>
        <v>0</v>
      </c>
      <c r="AC132" s="80">
        <f t="shared" si="147"/>
        <v>0</v>
      </c>
      <c r="AD132" s="80">
        <f t="shared" si="147"/>
        <v>0</v>
      </c>
      <c r="AE132" s="80">
        <f t="shared" si="147"/>
        <v>0</v>
      </c>
      <c r="AF132" s="80">
        <f t="shared" si="147"/>
        <v>0</v>
      </c>
      <c r="AG132" s="80">
        <f t="shared" si="147"/>
        <v>0</v>
      </c>
      <c r="AH132" s="80">
        <f t="shared" si="147"/>
        <v>0</v>
      </c>
      <c r="AI132" s="80">
        <f t="shared" si="147"/>
        <v>0</v>
      </c>
      <c r="AJ132" s="80">
        <f t="shared" si="147"/>
        <v>0</v>
      </c>
      <c r="AK132" s="80">
        <f t="shared" si="147"/>
        <v>0</v>
      </c>
      <c r="AL132" s="80">
        <f t="shared" si="147"/>
        <v>0</v>
      </c>
      <c r="AM132" s="80">
        <f t="shared" si="147"/>
        <v>0</v>
      </c>
      <c r="AN132" s="81">
        <f>SUM(AB132:AM132)</f>
        <v>0</v>
      </c>
    </row>
    <row r="133" spans="27:40" x14ac:dyDescent="0.2">
      <c r="AA133" s="76" t="s">
        <v>62</v>
      </c>
      <c r="AB133" s="80">
        <f t="shared" ref="AB133:AM133" si="148">$H$60/12</f>
        <v>14166.666666666666</v>
      </c>
      <c r="AC133" s="80">
        <f t="shared" si="148"/>
        <v>14166.666666666666</v>
      </c>
      <c r="AD133" s="80">
        <f t="shared" si="148"/>
        <v>14166.666666666666</v>
      </c>
      <c r="AE133" s="80">
        <f t="shared" si="148"/>
        <v>14166.666666666666</v>
      </c>
      <c r="AF133" s="80">
        <f t="shared" si="148"/>
        <v>14166.666666666666</v>
      </c>
      <c r="AG133" s="80">
        <f t="shared" si="148"/>
        <v>14166.666666666666</v>
      </c>
      <c r="AH133" s="80">
        <f t="shared" si="148"/>
        <v>14166.666666666666</v>
      </c>
      <c r="AI133" s="80">
        <f t="shared" si="148"/>
        <v>14166.666666666666</v>
      </c>
      <c r="AJ133" s="80">
        <f t="shared" si="148"/>
        <v>14166.666666666666</v>
      </c>
      <c r="AK133" s="80">
        <f t="shared" si="148"/>
        <v>14166.666666666666</v>
      </c>
      <c r="AL133" s="80">
        <f t="shared" si="148"/>
        <v>14166.666666666666</v>
      </c>
      <c r="AM133" s="80">
        <f t="shared" si="148"/>
        <v>14166.666666666666</v>
      </c>
      <c r="AN133" s="81">
        <f>SUM(AB133:AM133)</f>
        <v>170000</v>
      </c>
    </row>
    <row r="134" spans="27:40" x14ac:dyDescent="0.2">
      <c r="AA134" s="76" t="s">
        <v>353</v>
      </c>
      <c r="AB134" s="80">
        <f t="shared" ref="AB134:AM134" si="149">IF(AB132&gt;=AB133,AB133,AB132)</f>
        <v>0</v>
      </c>
      <c r="AC134" s="80">
        <f t="shared" si="149"/>
        <v>0</v>
      </c>
      <c r="AD134" s="80">
        <f t="shared" si="149"/>
        <v>0</v>
      </c>
      <c r="AE134" s="80">
        <f t="shared" si="149"/>
        <v>0</v>
      </c>
      <c r="AF134" s="80">
        <f t="shared" si="149"/>
        <v>0</v>
      </c>
      <c r="AG134" s="80">
        <f t="shared" si="149"/>
        <v>0</v>
      </c>
      <c r="AH134" s="80">
        <f t="shared" si="149"/>
        <v>0</v>
      </c>
      <c r="AI134" s="80">
        <f t="shared" si="149"/>
        <v>0</v>
      </c>
      <c r="AJ134" s="80">
        <f t="shared" si="149"/>
        <v>0</v>
      </c>
      <c r="AK134" s="80">
        <f t="shared" si="149"/>
        <v>0</v>
      </c>
      <c r="AL134" s="80">
        <f t="shared" si="149"/>
        <v>0</v>
      </c>
      <c r="AM134" s="80">
        <f t="shared" si="149"/>
        <v>0</v>
      </c>
      <c r="AN134" s="81">
        <f>SUM(AB134:AM134)</f>
        <v>0</v>
      </c>
    </row>
    <row r="137" spans="27:40" x14ac:dyDescent="0.2">
      <c r="AA137" t="s">
        <v>383</v>
      </c>
    </row>
    <row r="138" spans="27:40" x14ac:dyDescent="0.2">
      <c r="AA138" s="112"/>
      <c r="AB138" s="112" t="s">
        <v>343</v>
      </c>
      <c r="AC138" s="112" t="s">
        <v>137</v>
      </c>
      <c r="AD138" s="112" t="s">
        <v>344</v>
      </c>
      <c r="AE138" s="112" t="s">
        <v>54</v>
      </c>
      <c r="AF138" s="112" t="s">
        <v>237</v>
      </c>
      <c r="AG138" s="112" t="s">
        <v>346</v>
      </c>
      <c r="AH138" s="112" t="s">
        <v>22</v>
      </c>
      <c r="AI138" s="112" t="s">
        <v>347</v>
      </c>
      <c r="AJ138" s="112" t="s">
        <v>348</v>
      </c>
      <c r="AK138" s="112" t="s">
        <v>72</v>
      </c>
      <c r="AL138" s="112" t="s">
        <v>341</v>
      </c>
      <c r="AM138" s="112" t="s">
        <v>342</v>
      </c>
    </row>
    <row r="139" spans="27:40" x14ac:dyDescent="0.2">
      <c r="AA139" s="31" t="s">
        <v>10</v>
      </c>
      <c r="AB139" s="80">
        <f t="shared" ref="AB139:AM144" si="150">$K$52*$G3*AB32/12</f>
        <v>0</v>
      </c>
      <c r="AC139" s="80">
        <f t="shared" si="150"/>
        <v>0</v>
      </c>
      <c r="AD139" s="80">
        <f t="shared" si="150"/>
        <v>0</v>
      </c>
      <c r="AE139" s="80">
        <f t="shared" si="150"/>
        <v>0</v>
      </c>
      <c r="AF139" s="80">
        <f t="shared" si="150"/>
        <v>0</v>
      </c>
      <c r="AG139" s="80">
        <f t="shared" si="150"/>
        <v>0</v>
      </c>
      <c r="AH139" s="80">
        <f t="shared" si="150"/>
        <v>0</v>
      </c>
      <c r="AI139" s="80">
        <f t="shared" si="150"/>
        <v>0</v>
      </c>
      <c r="AJ139" s="80">
        <f t="shared" si="150"/>
        <v>0</v>
      </c>
      <c r="AK139" s="80">
        <f t="shared" si="150"/>
        <v>0</v>
      </c>
      <c r="AL139" s="80">
        <f t="shared" si="150"/>
        <v>0</v>
      </c>
      <c r="AM139" s="80">
        <f t="shared" si="150"/>
        <v>0</v>
      </c>
      <c r="AN139" s="81">
        <f t="shared" ref="AN139:AN145" si="151">SUM(AB139:AM139)</f>
        <v>0</v>
      </c>
    </row>
    <row r="140" spans="27:40" x14ac:dyDescent="0.2">
      <c r="AA140" s="31" t="s">
        <v>12</v>
      </c>
      <c r="AB140" s="80">
        <f t="shared" si="150"/>
        <v>0</v>
      </c>
      <c r="AC140" s="80">
        <f t="shared" si="150"/>
        <v>0</v>
      </c>
      <c r="AD140" s="80">
        <f t="shared" si="150"/>
        <v>0</v>
      </c>
      <c r="AE140" s="80">
        <f t="shared" si="150"/>
        <v>0</v>
      </c>
      <c r="AF140" s="80">
        <f t="shared" si="150"/>
        <v>0</v>
      </c>
      <c r="AG140" s="80">
        <f t="shared" si="150"/>
        <v>0</v>
      </c>
      <c r="AH140" s="80">
        <f t="shared" si="150"/>
        <v>0</v>
      </c>
      <c r="AI140" s="80">
        <f t="shared" si="150"/>
        <v>0</v>
      </c>
      <c r="AJ140" s="80">
        <f t="shared" si="150"/>
        <v>0</v>
      </c>
      <c r="AK140" s="80">
        <f t="shared" si="150"/>
        <v>0</v>
      </c>
      <c r="AL140" s="80">
        <f t="shared" si="150"/>
        <v>0</v>
      </c>
      <c r="AM140" s="80">
        <f t="shared" si="150"/>
        <v>0</v>
      </c>
      <c r="AN140" s="81">
        <f t="shared" si="151"/>
        <v>0</v>
      </c>
    </row>
    <row r="141" spans="27:40" x14ac:dyDescent="0.2">
      <c r="AA141" s="31" t="s">
        <v>14</v>
      </c>
      <c r="AB141" s="80">
        <f t="shared" si="150"/>
        <v>0</v>
      </c>
      <c r="AC141" s="80">
        <f t="shared" si="150"/>
        <v>0</v>
      </c>
      <c r="AD141" s="80">
        <f t="shared" si="150"/>
        <v>0</v>
      </c>
      <c r="AE141" s="80">
        <f t="shared" si="150"/>
        <v>0</v>
      </c>
      <c r="AF141" s="80">
        <f t="shared" si="150"/>
        <v>0</v>
      </c>
      <c r="AG141" s="80">
        <f t="shared" si="150"/>
        <v>0</v>
      </c>
      <c r="AH141" s="80">
        <f t="shared" si="150"/>
        <v>0</v>
      </c>
      <c r="AI141" s="80">
        <f t="shared" si="150"/>
        <v>0</v>
      </c>
      <c r="AJ141" s="80">
        <f t="shared" si="150"/>
        <v>0</v>
      </c>
      <c r="AK141" s="80">
        <f t="shared" si="150"/>
        <v>0</v>
      </c>
      <c r="AL141" s="80">
        <f t="shared" si="150"/>
        <v>0</v>
      </c>
      <c r="AM141" s="80">
        <f t="shared" si="150"/>
        <v>0</v>
      </c>
      <c r="AN141" s="81">
        <f t="shared" si="151"/>
        <v>0</v>
      </c>
    </row>
    <row r="142" spans="27:40" x14ac:dyDescent="0.2">
      <c r="AA142" s="31" t="s">
        <v>17</v>
      </c>
      <c r="AB142" s="80">
        <f t="shared" si="150"/>
        <v>0</v>
      </c>
      <c r="AC142" s="80">
        <f t="shared" si="150"/>
        <v>0</v>
      </c>
      <c r="AD142" s="80">
        <f t="shared" si="150"/>
        <v>0</v>
      </c>
      <c r="AE142" s="80">
        <f t="shared" si="150"/>
        <v>0</v>
      </c>
      <c r="AF142" s="80">
        <f t="shared" si="150"/>
        <v>0</v>
      </c>
      <c r="AG142" s="80">
        <f t="shared" si="150"/>
        <v>0</v>
      </c>
      <c r="AH142" s="80">
        <f t="shared" si="150"/>
        <v>0</v>
      </c>
      <c r="AI142" s="80">
        <f t="shared" si="150"/>
        <v>0</v>
      </c>
      <c r="AJ142" s="80">
        <f t="shared" si="150"/>
        <v>0</v>
      </c>
      <c r="AK142" s="80">
        <f t="shared" si="150"/>
        <v>0</v>
      </c>
      <c r="AL142" s="80">
        <f t="shared" si="150"/>
        <v>0</v>
      </c>
      <c r="AM142" s="80">
        <f t="shared" si="150"/>
        <v>0</v>
      </c>
      <c r="AN142" s="81">
        <f t="shared" si="151"/>
        <v>0</v>
      </c>
    </row>
    <row r="143" spans="27:40" x14ac:dyDescent="0.2">
      <c r="AA143" s="31" t="s">
        <v>11</v>
      </c>
      <c r="AB143" s="80">
        <f t="shared" si="150"/>
        <v>0</v>
      </c>
      <c r="AC143" s="80">
        <f t="shared" si="150"/>
        <v>0</v>
      </c>
      <c r="AD143" s="80">
        <f t="shared" si="150"/>
        <v>0</v>
      </c>
      <c r="AE143" s="80">
        <f t="shared" si="150"/>
        <v>0</v>
      </c>
      <c r="AF143" s="80">
        <f t="shared" si="150"/>
        <v>0</v>
      </c>
      <c r="AG143" s="80">
        <f t="shared" si="150"/>
        <v>0</v>
      </c>
      <c r="AH143" s="80">
        <f t="shared" si="150"/>
        <v>0</v>
      </c>
      <c r="AI143" s="80">
        <f t="shared" si="150"/>
        <v>0</v>
      </c>
      <c r="AJ143" s="80">
        <f t="shared" si="150"/>
        <v>0</v>
      </c>
      <c r="AK143" s="80">
        <f t="shared" si="150"/>
        <v>0</v>
      </c>
      <c r="AL143" s="80">
        <f t="shared" si="150"/>
        <v>0</v>
      </c>
      <c r="AM143" s="80">
        <f t="shared" si="150"/>
        <v>0</v>
      </c>
      <c r="AN143" s="81">
        <f t="shared" si="151"/>
        <v>0</v>
      </c>
    </row>
    <row r="144" spans="27:40" x14ac:dyDescent="0.2">
      <c r="AA144" s="31" t="s">
        <v>5</v>
      </c>
      <c r="AB144" s="80">
        <f t="shared" si="150"/>
        <v>0</v>
      </c>
      <c r="AC144" s="80">
        <f t="shared" si="150"/>
        <v>0</v>
      </c>
      <c r="AD144" s="80">
        <f t="shared" si="150"/>
        <v>0</v>
      </c>
      <c r="AE144" s="80">
        <f t="shared" si="150"/>
        <v>0</v>
      </c>
      <c r="AF144" s="80">
        <f t="shared" si="150"/>
        <v>0</v>
      </c>
      <c r="AG144" s="80">
        <f t="shared" si="150"/>
        <v>0</v>
      </c>
      <c r="AH144" s="80">
        <f t="shared" si="150"/>
        <v>0</v>
      </c>
      <c r="AI144" s="80">
        <f t="shared" si="150"/>
        <v>0</v>
      </c>
      <c r="AJ144" s="80">
        <f t="shared" si="150"/>
        <v>0</v>
      </c>
      <c r="AK144" s="80">
        <f t="shared" si="150"/>
        <v>0</v>
      </c>
      <c r="AL144" s="80">
        <f t="shared" si="150"/>
        <v>0</v>
      </c>
      <c r="AM144" s="80">
        <f t="shared" si="150"/>
        <v>0</v>
      </c>
      <c r="AN144" s="81">
        <f t="shared" si="151"/>
        <v>0</v>
      </c>
    </row>
    <row r="145" spans="27:40" x14ac:dyDescent="0.2">
      <c r="AA145" s="31" t="s">
        <v>351</v>
      </c>
      <c r="AB145" s="80">
        <f t="shared" ref="AB145:AM145" si="152">SUM(AB139:AB144)</f>
        <v>0</v>
      </c>
      <c r="AC145" s="80">
        <f t="shared" si="152"/>
        <v>0</v>
      </c>
      <c r="AD145" s="80">
        <f t="shared" si="152"/>
        <v>0</v>
      </c>
      <c r="AE145" s="80">
        <f t="shared" si="152"/>
        <v>0</v>
      </c>
      <c r="AF145" s="80">
        <f t="shared" si="152"/>
        <v>0</v>
      </c>
      <c r="AG145" s="80">
        <f t="shared" si="152"/>
        <v>0</v>
      </c>
      <c r="AH145" s="80">
        <f t="shared" si="152"/>
        <v>0</v>
      </c>
      <c r="AI145" s="80">
        <f t="shared" si="152"/>
        <v>0</v>
      </c>
      <c r="AJ145" s="80">
        <f t="shared" si="152"/>
        <v>0</v>
      </c>
      <c r="AK145" s="80">
        <f t="shared" si="152"/>
        <v>0</v>
      </c>
      <c r="AL145" s="80">
        <f t="shared" si="152"/>
        <v>0</v>
      </c>
      <c r="AM145" s="80">
        <f t="shared" si="152"/>
        <v>0</v>
      </c>
      <c r="AN145" s="81">
        <f t="shared" si="151"/>
        <v>0</v>
      </c>
    </row>
    <row r="147" spans="27:40" x14ac:dyDescent="0.2">
      <c r="AA147" t="s">
        <v>384</v>
      </c>
    </row>
    <row r="148" spans="27:40" x14ac:dyDescent="0.2">
      <c r="AA148" s="112"/>
      <c r="AB148" s="112" t="s">
        <v>343</v>
      </c>
      <c r="AC148" s="112" t="s">
        <v>137</v>
      </c>
      <c r="AD148" s="112" t="s">
        <v>344</v>
      </c>
      <c r="AE148" s="112" t="s">
        <v>54</v>
      </c>
      <c r="AF148" s="112" t="s">
        <v>237</v>
      </c>
      <c r="AG148" s="112" t="s">
        <v>346</v>
      </c>
      <c r="AH148" s="112" t="s">
        <v>22</v>
      </c>
      <c r="AI148" s="112" t="s">
        <v>347</v>
      </c>
      <c r="AJ148" s="112" t="s">
        <v>348</v>
      </c>
      <c r="AK148" s="112" t="s">
        <v>72</v>
      </c>
      <c r="AL148" s="112" t="s">
        <v>341</v>
      </c>
      <c r="AM148" s="112" t="s">
        <v>342</v>
      </c>
    </row>
    <row r="149" spans="27:40" x14ac:dyDescent="0.2">
      <c r="AA149" s="31" t="s">
        <v>10</v>
      </c>
      <c r="AB149" s="80">
        <f t="shared" ref="AB149:AM154" si="153">($L$52-($L$52*$G$25/10))*$AB42*AB32/12</f>
        <v>0</v>
      </c>
      <c r="AC149" s="80">
        <f t="shared" si="153"/>
        <v>0</v>
      </c>
      <c r="AD149" s="80">
        <f t="shared" si="153"/>
        <v>0</v>
      </c>
      <c r="AE149" s="80">
        <f t="shared" si="153"/>
        <v>0</v>
      </c>
      <c r="AF149" s="80">
        <f t="shared" si="153"/>
        <v>0</v>
      </c>
      <c r="AG149" s="80">
        <f t="shared" si="153"/>
        <v>0</v>
      </c>
      <c r="AH149" s="80">
        <f t="shared" si="153"/>
        <v>0</v>
      </c>
      <c r="AI149" s="80">
        <f t="shared" si="153"/>
        <v>0</v>
      </c>
      <c r="AJ149" s="80">
        <f t="shared" si="153"/>
        <v>0</v>
      </c>
      <c r="AK149" s="80">
        <f t="shared" si="153"/>
        <v>0</v>
      </c>
      <c r="AL149" s="80">
        <f t="shared" si="153"/>
        <v>0</v>
      </c>
      <c r="AM149" s="80">
        <f t="shared" si="153"/>
        <v>0</v>
      </c>
      <c r="AN149" s="81">
        <f t="shared" ref="AN149:AN155" si="154">SUM(AB149:AM149)</f>
        <v>0</v>
      </c>
    </row>
    <row r="150" spans="27:40" x14ac:dyDescent="0.2">
      <c r="AA150" s="31" t="s">
        <v>12</v>
      </c>
      <c r="AB150" s="80">
        <f t="shared" si="153"/>
        <v>0</v>
      </c>
      <c r="AC150" s="80">
        <f t="shared" si="153"/>
        <v>0</v>
      </c>
      <c r="AD150" s="80">
        <f t="shared" si="153"/>
        <v>0</v>
      </c>
      <c r="AE150" s="80">
        <f t="shared" si="153"/>
        <v>0</v>
      </c>
      <c r="AF150" s="80">
        <f t="shared" si="153"/>
        <v>0</v>
      </c>
      <c r="AG150" s="80">
        <f t="shared" si="153"/>
        <v>0</v>
      </c>
      <c r="AH150" s="80">
        <f t="shared" si="153"/>
        <v>0</v>
      </c>
      <c r="AI150" s="80">
        <f t="shared" si="153"/>
        <v>0</v>
      </c>
      <c r="AJ150" s="80">
        <f t="shared" si="153"/>
        <v>0</v>
      </c>
      <c r="AK150" s="80">
        <f t="shared" si="153"/>
        <v>0</v>
      </c>
      <c r="AL150" s="80">
        <f t="shared" si="153"/>
        <v>0</v>
      </c>
      <c r="AM150" s="80">
        <f t="shared" si="153"/>
        <v>0</v>
      </c>
      <c r="AN150" s="81">
        <f t="shared" si="154"/>
        <v>0</v>
      </c>
    </row>
    <row r="151" spans="27:40" x14ac:dyDescent="0.2">
      <c r="AA151" s="31" t="s">
        <v>14</v>
      </c>
      <c r="AB151" s="80">
        <f t="shared" si="153"/>
        <v>0</v>
      </c>
      <c r="AC151" s="80">
        <f t="shared" si="153"/>
        <v>0</v>
      </c>
      <c r="AD151" s="80">
        <f t="shared" si="153"/>
        <v>0</v>
      </c>
      <c r="AE151" s="80">
        <f t="shared" si="153"/>
        <v>0</v>
      </c>
      <c r="AF151" s="80">
        <f t="shared" si="153"/>
        <v>0</v>
      </c>
      <c r="AG151" s="80">
        <f t="shared" si="153"/>
        <v>0</v>
      </c>
      <c r="AH151" s="80">
        <f t="shared" si="153"/>
        <v>0</v>
      </c>
      <c r="AI151" s="80">
        <f t="shared" si="153"/>
        <v>0</v>
      </c>
      <c r="AJ151" s="80">
        <f t="shared" si="153"/>
        <v>0</v>
      </c>
      <c r="AK151" s="80">
        <f t="shared" si="153"/>
        <v>0</v>
      </c>
      <c r="AL151" s="80">
        <f t="shared" si="153"/>
        <v>0</v>
      </c>
      <c r="AM151" s="80">
        <f t="shared" si="153"/>
        <v>0</v>
      </c>
      <c r="AN151" s="81">
        <f t="shared" si="154"/>
        <v>0</v>
      </c>
    </row>
    <row r="152" spans="27:40" x14ac:dyDescent="0.2">
      <c r="AA152" s="31" t="s">
        <v>17</v>
      </c>
      <c r="AB152" s="80">
        <f t="shared" si="153"/>
        <v>0</v>
      </c>
      <c r="AC152" s="80">
        <f t="shared" si="153"/>
        <v>0</v>
      </c>
      <c r="AD152" s="80">
        <f t="shared" si="153"/>
        <v>0</v>
      </c>
      <c r="AE152" s="80">
        <f t="shared" si="153"/>
        <v>0</v>
      </c>
      <c r="AF152" s="80">
        <f t="shared" si="153"/>
        <v>0</v>
      </c>
      <c r="AG152" s="80">
        <f t="shared" si="153"/>
        <v>0</v>
      </c>
      <c r="AH152" s="80">
        <f t="shared" si="153"/>
        <v>0</v>
      </c>
      <c r="AI152" s="80">
        <f t="shared" si="153"/>
        <v>0</v>
      </c>
      <c r="AJ152" s="80">
        <f t="shared" si="153"/>
        <v>0</v>
      </c>
      <c r="AK152" s="80">
        <f t="shared" si="153"/>
        <v>0</v>
      </c>
      <c r="AL152" s="80">
        <f t="shared" si="153"/>
        <v>0</v>
      </c>
      <c r="AM152" s="80">
        <f t="shared" si="153"/>
        <v>0</v>
      </c>
      <c r="AN152" s="81">
        <f t="shared" si="154"/>
        <v>0</v>
      </c>
    </row>
    <row r="153" spans="27:40" x14ac:dyDescent="0.2">
      <c r="AA153" s="31" t="s">
        <v>11</v>
      </c>
      <c r="AB153" s="80">
        <f t="shared" si="153"/>
        <v>0</v>
      </c>
      <c r="AC153" s="80">
        <f t="shared" si="153"/>
        <v>0</v>
      </c>
      <c r="AD153" s="80">
        <f t="shared" si="153"/>
        <v>0</v>
      </c>
      <c r="AE153" s="80">
        <f t="shared" si="153"/>
        <v>0</v>
      </c>
      <c r="AF153" s="80">
        <f t="shared" si="153"/>
        <v>0</v>
      </c>
      <c r="AG153" s="80">
        <f t="shared" si="153"/>
        <v>0</v>
      </c>
      <c r="AH153" s="80">
        <f t="shared" si="153"/>
        <v>0</v>
      </c>
      <c r="AI153" s="80">
        <f t="shared" si="153"/>
        <v>0</v>
      </c>
      <c r="AJ153" s="80">
        <f t="shared" si="153"/>
        <v>0</v>
      </c>
      <c r="AK153" s="80">
        <f t="shared" si="153"/>
        <v>0</v>
      </c>
      <c r="AL153" s="80">
        <f t="shared" si="153"/>
        <v>0</v>
      </c>
      <c r="AM153" s="80">
        <f t="shared" si="153"/>
        <v>0</v>
      </c>
      <c r="AN153" s="81">
        <f t="shared" si="154"/>
        <v>0</v>
      </c>
    </row>
    <row r="154" spans="27:40" x14ac:dyDescent="0.2">
      <c r="AA154" s="31" t="s">
        <v>5</v>
      </c>
      <c r="AB154" s="80">
        <f t="shared" si="153"/>
        <v>0</v>
      </c>
      <c r="AC154" s="80">
        <f t="shared" si="153"/>
        <v>0</v>
      </c>
      <c r="AD154" s="80">
        <f t="shared" si="153"/>
        <v>0</v>
      </c>
      <c r="AE154" s="80">
        <f t="shared" si="153"/>
        <v>0</v>
      </c>
      <c r="AF154" s="80">
        <f t="shared" si="153"/>
        <v>0</v>
      </c>
      <c r="AG154" s="80">
        <f t="shared" si="153"/>
        <v>0</v>
      </c>
      <c r="AH154" s="80">
        <f t="shared" si="153"/>
        <v>0</v>
      </c>
      <c r="AI154" s="80">
        <f t="shared" si="153"/>
        <v>0</v>
      </c>
      <c r="AJ154" s="80">
        <f t="shared" si="153"/>
        <v>0</v>
      </c>
      <c r="AK154" s="80">
        <f t="shared" si="153"/>
        <v>0</v>
      </c>
      <c r="AL154" s="80">
        <f t="shared" si="153"/>
        <v>0</v>
      </c>
      <c r="AM154" s="80">
        <f t="shared" si="153"/>
        <v>0</v>
      </c>
      <c r="AN154" s="81">
        <f t="shared" si="154"/>
        <v>0</v>
      </c>
    </row>
    <row r="155" spans="27:40" x14ac:dyDescent="0.2">
      <c r="AA155" s="31" t="s">
        <v>351</v>
      </c>
      <c r="AB155" s="80">
        <f t="shared" ref="AB155:AM155" si="155">SUM(AB149:AB154)</f>
        <v>0</v>
      </c>
      <c r="AC155" s="80">
        <f t="shared" si="155"/>
        <v>0</v>
      </c>
      <c r="AD155" s="80">
        <f t="shared" si="155"/>
        <v>0</v>
      </c>
      <c r="AE155" s="80">
        <f t="shared" si="155"/>
        <v>0</v>
      </c>
      <c r="AF155" s="80">
        <f t="shared" si="155"/>
        <v>0</v>
      </c>
      <c r="AG155" s="80">
        <f t="shared" si="155"/>
        <v>0</v>
      </c>
      <c r="AH155" s="80">
        <f t="shared" si="155"/>
        <v>0</v>
      </c>
      <c r="AI155" s="80">
        <f t="shared" si="155"/>
        <v>0</v>
      </c>
      <c r="AJ155" s="80">
        <f t="shared" si="155"/>
        <v>0</v>
      </c>
      <c r="AK155" s="80">
        <f t="shared" si="155"/>
        <v>0</v>
      </c>
      <c r="AL155" s="80">
        <f t="shared" si="155"/>
        <v>0</v>
      </c>
      <c r="AM155" s="80">
        <f t="shared" si="155"/>
        <v>0</v>
      </c>
      <c r="AN155" s="81">
        <f t="shared" si="154"/>
        <v>0</v>
      </c>
    </row>
    <row r="157" spans="27:40" x14ac:dyDescent="0.2">
      <c r="AA157" t="s">
        <v>33</v>
      </c>
    </row>
    <row r="158" spans="27:40" x14ac:dyDescent="0.2">
      <c r="AA158" s="112"/>
      <c r="AB158" s="112" t="s">
        <v>343</v>
      </c>
      <c r="AC158" s="112" t="s">
        <v>137</v>
      </c>
      <c r="AD158" s="112" t="s">
        <v>344</v>
      </c>
      <c r="AE158" s="112" t="s">
        <v>54</v>
      </c>
      <c r="AF158" s="112" t="s">
        <v>237</v>
      </c>
      <c r="AG158" s="112" t="s">
        <v>346</v>
      </c>
      <c r="AH158" s="112" t="s">
        <v>22</v>
      </c>
      <c r="AI158" s="112" t="s">
        <v>347</v>
      </c>
      <c r="AJ158" s="112" t="s">
        <v>348</v>
      </c>
      <c r="AK158" s="112" t="s">
        <v>72</v>
      </c>
      <c r="AL158" s="112" t="s">
        <v>341</v>
      </c>
      <c r="AM158" s="112" t="s">
        <v>342</v>
      </c>
    </row>
    <row r="159" spans="27:40" x14ac:dyDescent="0.2">
      <c r="AA159" s="31" t="s">
        <v>351</v>
      </c>
      <c r="AB159" s="80">
        <f t="shared" ref="AB159:AM159" si="156">IF(AND(AB$38&gt;0,$AB$48&gt;0),($M$52-($M$52*$G$25/10))/12,0)</f>
        <v>0</v>
      </c>
      <c r="AC159" s="80">
        <f t="shared" si="156"/>
        <v>0</v>
      </c>
      <c r="AD159" s="80">
        <f t="shared" si="156"/>
        <v>0</v>
      </c>
      <c r="AE159" s="80">
        <f t="shared" si="156"/>
        <v>0</v>
      </c>
      <c r="AF159" s="80">
        <f t="shared" si="156"/>
        <v>0</v>
      </c>
      <c r="AG159" s="80">
        <f t="shared" si="156"/>
        <v>0</v>
      </c>
      <c r="AH159" s="80">
        <f t="shared" si="156"/>
        <v>0</v>
      </c>
      <c r="AI159" s="80">
        <f t="shared" si="156"/>
        <v>0</v>
      </c>
      <c r="AJ159" s="80">
        <f t="shared" si="156"/>
        <v>0</v>
      </c>
      <c r="AK159" s="80">
        <f t="shared" si="156"/>
        <v>0</v>
      </c>
      <c r="AL159" s="80">
        <f t="shared" si="156"/>
        <v>0</v>
      </c>
      <c r="AM159" s="80">
        <f t="shared" si="156"/>
        <v>0</v>
      </c>
      <c r="AN159" s="81">
        <f>SUM(AB159:AM159)</f>
        <v>0</v>
      </c>
    </row>
    <row r="161" spans="27:40" x14ac:dyDescent="0.2">
      <c r="AA161" s="76" t="s">
        <v>354</v>
      </c>
      <c r="AB161" s="80">
        <f t="shared" ref="AB161:AM161" si="157">AB145+AB155+AB159</f>
        <v>0</v>
      </c>
      <c r="AC161" s="80">
        <f t="shared" si="157"/>
        <v>0</v>
      </c>
      <c r="AD161" s="80">
        <f t="shared" si="157"/>
        <v>0</v>
      </c>
      <c r="AE161" s="80">
        <f t="shared" si="157"/>
        <v>0</v>
      </c>
      <c r="AF161" s="80">
        <f t="shared" si="157"/>
        <v>0</v>
      </c>
      <c r="AG161" s="80">
        <f t="shared" si="157"/>
        <v>0</v>
      </c>
      <c r="AH161" s="80">
        <f t="shared" si="157"/>
        <v>0</v>
      </c>
      <c r="AI161" s="80">
        <f t="shared" si="157"/>
        <v>0</v>
      </c>
      <c r="AJ161" s="80">
        <f t="shared" si="157"/>
        <v>0</v>
      </c>
      <c r="AK161" s="80">
        <f t="shared" si="157"/>
        <v>0</v>
      </c>
      <c r="AL161" s="80">
        <f t="shared" si="157"/>
        <v>0</v>
      </c>
      <c r="AM161" s="80">
        <f t="shared" si="157"/>
        <v>0</v>
      </c>
      <c r="AN161" s="81">
        <f>SUM(AB161:AM161)</f>
        <v>0</v>
      </c>
    </row>
    <row r="162" spans="27:40" x14ac:dyDescent="0.2">
      <c r="AA162" s="76" t="s">
        <v>62</v>
      </c>
      <c r="AB162" s="80">
        <f t="shared" ref="AB162:AM162" si="158">$K$60/12</f>
        <v>2500</v>
      </c>
      <c r="AC162" s="80">
        <f t="shared" si="158"/>
        <v>2500</v>
      </c>
      <c r="AD162" s="80">
        <f t="shared" si="158"/>
        <v>2500</v>
      </c>
      <c r="AE162" s="80">
        <f t="shared" si="158"/>
        <v>2500</v>
      </c>
      <c r="AF162" s="80">
        <f t="shared" si="158"/>
        <v>2500</v>
      </c>
      <c r="AG162" s="80">
        <f t="shared" si="158"/>
        <v>2500</v>
      </c>
      <c r="AH162" s="80">
        <f t="shared" si="158"/>
        <v>2500</v>
      </c>
      <c r="AI162" s="80">
        <f t="shared" si="158"/>
        <v>2500</v>
      </c>
      <c r="AJ162" s="80">
        <f t="shared" si="158"/>
        <v>2500</v>
      </c>
      <c r="AK162" s="80">
        <f t="shared" si="158"/>
        <v>2500</v>
      </c>
      <c r="AL162" s="80">
        <f t="shared" si="158"/>
        <v>2500</v>
      </c>
      <c r="AM162" s="80">
        <f t="shared" si="158"/>
        <v>2500</v>
      </c>
      <c r="AN162" s="81">
        <f>SUM(AB162:AM162)</f>
        <v>30000</v>
      </c>
    </row>
    <row r="163" spans="27:40" x14ac:dyDescent="0.2">
      <c r="AA163" s="76" t="s">
        <v>353</v>
      </c>
      <c r="AB163" s="80">
        <f t="shared" ref="AB163:AM163" si="159">IF(AB161&gt;=AB162,AB162,AB161)</f>
        <v>0</v>
      </c>
      <c r="AC163" s="80">
        <f t="shared" si="159"/>
        <v>0</v>
      </c>
      <c r="AD163" s="80">
        <f t="shared" si="159"/>
        <v>0</v>
      </c>
      <c r="AE163" s="80">
        <f t="shared" si="159"/>
        <v>0</v>
      </c>
      <c r="AF163" s="80">
        <f t="shared" si="159"/>
        <v>0</v>
      </c>
      <c r="AG163" s="80">
        <f t="shared" si="159"/>
        <v>0</v>
      </c>
      <c r="AH163" s="80">
        <f t="shared" si="159"/>
        <v>0</v>
      </c>
      <c r="AI163" s="80">
        <f t="shared" si="159"/>
        <v>0</v>
      </c>
      <c r="AJ163" s="80">
        <f t="shared" si="159"/>
        <v>0</v>
      </c>
      <c r="AK163" s="80">
        <f t="shared" si="159"/>
        <v>0</v>
      </c>
      <c r="AL163" s="80">
        <f t="shared" si="159"/>
        <v>0</v>
      </c>
      <c r="AM163" s="80">
        <f t="shared" si="159"/>
        <v>0</v>
      </c>
      <c r="AN163" s="81">
        <f>SUM(AB163:AM163)</f>
        <v>0</v>
      </c>
    </row>
    <row r="165" spans="27:40" x14ac:dyDescent="0.2">
      <c r="AA165" t="s">
        <v>369</v>
      </c>
    </row>
    <row r="166" spans="27:40" x14ac:dyDescent="0.2">
      <c r="AA166" s="76"/>
      <c r="AB166" s="115" t="str">
        <f>I1</f>
        <v>令和8年4月</v>
      </c>
      <c r="AC166" s="115" t="str">
        <f>I2</f>
        <v>令和8年5月</v>
      </c>
      <c r="AD166" s="115" t="str">
        <f>I3</f>
        <v>令和8年6月</v>
      </c>
      <c r="AE166" s="115" t="str">
        <f>I4</f>
        <v>令和8年7月</v>
      </c>
      <c r="AF166" s="115" t="str">
        <f>I5</f>
        <v>令和8年8月</v>
      </c>
      <c r="AG166" s="115" t="str">
        <f>I6</f>
        <v>令和8年9月</v>
      </c>
      <c r="AH166" s="115" t="str">
        <f>I7</f>
        <v>令和8年10月</v>
      </c>
      <c r="AI166" s="115" t="str">
        <f>I8</f>
        <v>令和8年11月</v>
      </c>
      <c r="AJ166" s="115" t="str">
        <f>I9</f>
        <v>令和8年12月</v>
      </c>
      <c r="AK166" s="115" t="str">
        <f>I10</f>
        <v>令和9年1月</v>
      </c>
      <c r="AL166" s="115" t="str">
        <f>I11</f>
        <v>令和9年2月</v>
      </c>
      <c r="AM166" s="115" t="str">
        <f>I12</f>
        <v>令和9年3月</v>
      </c>
    </row>
    <row r="167" spans="27:40" x14ac:dyDescent="0.2">
      <c r="AA167" s="76" t="s">
        <v>38</v>
      </c>
      <c r="AB167" s="80">
        <f>SUM(AB76:AM76)</f>
        <v>0</v>
      </c>
      <c r="AC167" s="80">
        <f>SUM(AC76:AM76)</f>
        <v>0</v>
      </c>
      <c r="AD167" s="80">
        <f>SUM(AD76:AM76)</f>
        <v>0</v>
      </c>
      <c r="AE167" s="80">
        <f>SUM(AE76:AM76)</f>
        <v>0</v>
      </c>
      <c r="AF167" s="80">
        <f>SUM(AF76:AM76)</f>
        <v>0</v>
      </c>
      <c r="AG167" s="80">
        <f>SUM(AG76:AM76)</f>
        <v>0</v>
      </c>
      <c r="AH167" s="80">
        <f>SUM(AH76:AM76)</f>
        <v>0</v>
      </c>
      <c r="AI167" s="80">
        <f>SUM(AI76:AM76)</f>
        <v>0</v>
      </c>
      <c r="AJ167" s="80">
        <f>SUM(AJ76:AM76)</f>
        <v>0</v>
      </c>
      <c r="AK167" s="80">
        <f>SUM(AK76:AM76)</f>
        <v>0</v>
      </c>
      <c r="AL167" s="80">
        <f>SUM(AL76:AM76)</f>
        <v>0</v>
      </c>
      <c r="AM167" s="80">
        <f>SUM(AM76)</f>
        <v>0</v>
      </c>
    </row>
    <row r="168" spans="27:40" x14ac:dyDescent="0.2">
      <c r="AA168" s="76" t="s">
        <v>247</v>
      </c>
      <c r="AB168" s="80">
        <f>SUM(AB105:AM105)</f>
        <v>0</v>
      </c>
      <c r="AC168" s="80">
        <f>SUM(AC105:AM105)</f>
        <v>0</v>
      </c>
      <c r="AD168" s="80">
        <f>SUM(AD105:AM105)</f>
        <v>0</v>
      </c>
      <c r="AE168" s="80">
        <f>SUM(AE105:AM105)</f>
        <v>0</v>
      </c>
      <c r="AF168" s="80">
        <f>SUM(AF105:AM105)</f>
        <v>0</v>
      </c>
      <c r="AG168" s="80">
        <f>SUM(AG105:AM105)</f>
        <v>0</v>
      </c>
      <c r="AH168" s="80">
        <f>SUM(AH105:AM105)</f>
        <v>0</v>
      </c>
      <c r="AI168" s="80">
        <f>SUM(AI105:AM105)</f>
        <v>0</v>
      </c>
      <c r="AJ168" s="80">
        <f>SUM(AJ105:AM105)</f>
        <v>0</v>
      </c>
      <c r="AK168" s="80">
        <f>SUM(AK105:AM105)</f>
        <v>0</v>
      </c>
      <c r="AL168" s="80">
        <f>SUM(AL105:AM105)</f>
        <v>0</v>
      </c>
      <c r="AM168" s="80">
        <f>SUM(AM105)</f>
        <v>0</v>
      </c>
    </row>
    <row r="169" spans="27:40" x14ac:dyDescent="0.2">
      <c r="AA169" s="76" t="s">
        <v>47</v>
      </c>
      <c r="AB169" s="80">
        <f>SUM(AB134:AM134)</f>
        <v>0</v>
      </c>
      <c r="AC169" s="80">
        <f>SUM(AC134:AM134)</f>
        <v>0</v>
      </c>
      <c r="AD169" s="80">
        <f>SUM(AD134:AM134)</f>
        <v>0</v>
      </c>
      <c r="AE169" s="80">
        <f>SUM(AE134:AM134)</f>
        <v>0</v>
      </c>
      <c r="AF169" s="80">
        <f>SUM(AF134:AM134)</f>
        <v>0</v>
      </c>
      <c r="AG169" s="80">
        <f>SUM(AG134:AM134)</f>
        <v>0</v>
      </c>
      <c r="AH169" s="80">
        <f>SUM(AH134:AM134)</f>
        <v>0</v>
      </c>
      <c r="AI169" s="80">
        <f>SUM(AI134:AM134)</f>
        <v>0</v>
      </c>
      <c r="AJ169" s="80">
        <f>SUM(AJ134:AM134)</f>
        <v>0</v>
      </c>
      <c r="AK169" s="80">
        <f>SUM(AK134:AM134)</f>
        <v>0</v>
      </c>
      <c r="AL169" s="80">
        <f>SUM(AL134:AM134)</f>
        <v>0</v>
      </c>
      <c r="AM169" s="80">
        <f>SUM(AM134)</f>
        <v>0</v>
      </c>
    </row>
    <row r="170" spans="27:40" x14ac:dyDescent="0.2">
      <c r="AA170" s="76" t="s">
        <v>366</v>
      </c>
      <c r="AB170" s="80">
        <f>SUM(AB163:AM163)</f>
        <v>0</v>
      </c>
      <c r="AC170" s="80">
        <f>SUM(AC163:AM163)</f>
        <v>0</v>
      </c>
      <c r="AD170" s="80">
        <f>SUM(AD163:AM163)</f>
        <v>0</v>
      </c>
      <c r="AE170" s="80">
        <f>SUM(AE163:AM163)</f>
        <v>0</v>
      </c>
      <c r="AF170" s="80">
        <f>SUM(AF163:AM163)</f>
        <v>0</v>
      </c>
      <c r="AG170" s="80">
        <f>SUM(AG163:AM163)</f>
        <v>0</v>
      </c>
      <c r="AH170" s="80">
        <f>SUM(AH163:AM163)</f>
        <v>0</v>
      </c>
      <c r="AI170" s="80">
        <f>SUM(AI163:AM163)</f>
        <v>0</v>
      </c>
      <c r="AJ170" s="80">
        <f>SUM(AJ163:AM163)</f>
        <v>0</v>
      </c>
      <c r="AK170" s="80">
        <f>SUM(AK163:AM163)</f>
        <v>0</v>
      </c>
      <c r="AL170" s="80">
        <f>SUM(AL163:AM163)</f>
        <v>0</v>
      </c>
      <c r="AM170" s="80">
        <f>SUM(AM163)</f>
        <v>0</v>
      </c>
    </row>
    <row r="171" spans="27:40" x14ac:dyDescent="0.2">
      <c r="AA171" s="113" t="s">
        <v>351</v>
      </c>
      <c r="AB171" s="116">
        <f t="shared" ref="AB171:AM171" si="160">ROUNDDOWN(AB167,-2)+ROUNDDOWN(AB168,-2)+ROUNDDOWN(AB169,-2)+ROUNDDOWN(AB170,-2)</f>
        <v>0</v>
      </c>
      <c r="AC171" s="116">
        <f t="shared" si="160"/>
        <v>0</v>
      </c>
      <c r="AD171" s="116">
        <f t="shared" si="160"/>
        <v>0</v>
      </c>
      <c r="AE171" s="116">
        <f t="shared" si="160"/>
        <v>0</v>
      </c>
      <c r="AF171" s="116">
        <f t="shared" si="160"/>
        <v>0</v>
      </c>
      <c r="AG171" s="116">
        <f t="shared" si="160"/>
        <v>0</v>
      </c>
      <c r="AH171" s="116">
        <f t="shared" si="160"/>
        <v>0</v>
      </c>
      <c r="AI171" s="116">
        <f t="shared" si="160"/>
        <v>0</v>
      </c>
      <c r="AJ171" s="116">
        <f t="shared" si="160"/>
        <v>0</v>
      </c>
      <c r="AK171" s="116">
        <f t="shared" si="160"/>
        <v>0</v>
      </c>
      <c r="AL171" s="116">
        <f t="shared" si="160"/>
        <v>0</v>
      </c>
      <c r="AM171" s="116">
        <f t="shared" si="160"/>
        <v>0</v>
      </c>
    </row>
  </sheetData>
  <mergeCells count="63">
    <mergeCell ref="A64:A65"/>
    <mergeCell ref="B64:C65"/>
    <mergeCell ref="O65:R68"/>
    <mergeCell ref="O69:O73"/>
    <mergeCell ref="O74:O78"/>
    <mergeCell ref="A50:A52"/>
    <mergeCell ref="O51:O55"/>
    <mergeCell ref="D53:D58"/>
    <mergeCell ref="G53:G58"/>
    <mergeCell ref="J53:J58"/>
    <mergeCell ref="M53:M58"/>
    <mergeCell ref="O56:O60"/>
    <mergeCell ref="O38:R50"/>
    <mergeCell ref="A29:A30"/>
    <mergeCell ref="B29:B30"/>
    <mergeCell ref="C29:C30"/>
    <mergeCell ref="D29:D30"/>
    <mergeCell ref="E29:E30"/>
    <mergeCell ref="A21:A22"/>
    <mergeCell ref="B21:B22"/>
    <mergeCell ref="C21:C22"/>
    <mergeCell ref="D21:D22"/>
    <mergeCell ref="B23:B25"/>
    <mergeCell ref="C23:C25"/>
    <mergeCell ref="A11:A12"/>
    <mergeCell ref="B11:B12"/>
    <mergeCell ref="C11:C12"/>
    <mergeCell ref="D11:D12"/>
    <mergeCell ref="E11:E12"/>
    <mergeCell ref="A1:A2"/>
    <mergeCell ref="B1:B2"/>
    <mergeCell ref="C1:C2"/>
    <mergeCell ref="D1:D2"/>
    <mergeCell ref="E1:E2"/>
    <mergeCell ref="S65:X65"/>
    <mergeCell ref="O89:R89"/>
    <mergeCell ref="O90:R90"/>
    <mergeCell ref="O91:R91"/>
    <mergeCell ref="O92:R92"/>
    <mergeCell ref="B60:D60"/>
    <mergeCell ref="E60:G60"/>
    <mergeCell ref="H60:J60"/>
    <mergeCell ref="K60:M60"/>
    <mergeCell ref="B61:D61"/>
    <mergeCell ref="E61:G61"/>
    <mergeCell ref="H61:J61"/>
    <mergeCell ref="K61:M61"/>
    <mergeCell ref="S1:X1"/>
    <mergeCell ref="S20:X20"/>
    <mergeCell ref="S38:X38"/>
    <mergeCell ref="B50:D50"/>
    <mergeCell ref="E50:G50"/>
    <mergeCell ref="H50:J50"/>
    <mergeCell ref="K50:M50"/>
    <mergeCell ref="F1:F2"/>
    <mergeCell ref="G1:G2"/>
    <mergeCell ref="P1:R3"/>
    <mergeCell ref="F11:F12"/>
    <mergeCell ref="G11:G12"/>
    <mergeCell ref="O20:R23"/>
    <mergeCell ref="O24:O28"/>
    <mergeCell ref="O29:O33"/>
    <mergeCell ref="C31:C36"/>
  </mergeCells>
  <phoneticPr fontId="1" type="Hiragana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入力・結果表示シート</vt:lpstr>
      <vt:lpstr>計算シート</vt:lpstr>
      <vt:lpstr>入力・結果表示シート!Print_Area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賢二</dc:creator>
  <cp:lastModifiedBy> </cp:lastModifiedBy>
  <dcterms:created xsi:type="dcterms:W3CDTF">2022-04-22T01:35:12Z</dcterms:created>
  <dcterms:modified xsi:type="dcterms:W3CDTF">2026-06-08T01:21:43Z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2026-06-05T02:02:55Z</vt:filetime>
  </property>
</Properties>
</file>