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F0E3" lockStructure="1"/>
  <bookViews>
    <workbookView xWindow="0" yWindow="0" windowWidth="18576" windowHeight="8196"/>
  </bookViews>
  <sheets>
    <sheet name="入力・結果表示シート" sheetId="2" r:id="rId1"/>
    <sheet name="計算シート" sheetId="1" state="hidden" r:id="rId2"/>
  </sheets>
  <definedNames>
    <definedName name="_xlnm.Print_Area" localSheetId="0">'入力・結果表示シート'!$A$1:$Q$52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<sst xmlns="http://schemas.openxmlformats.org/spreadsheetml/2006/main" xmlns:r="http://schemas.openxmlformats.org/officeDocument/2006/relationships" count="381" uniqueCount="381">
  <si>
    <t>①加入</t>
    <rPh sb="1" eb="3">
      <t>かにゅう</t>
    </rPh>
    <phoneticPr fontId="1" type="Hiragana"/>
  </si>
  <si>
    <t>●未就学児減額</t>
    <rPh sb="1" eb="5">
      <t>みしゅうがくじ</t>
    </rPh>
    <rPh sb="5" eb="7">
      <t>げんがく</t>
    </rPh>
    <phoneticPr fontId="1" type="Hiragana"/>
  </si>
  <si>
    <t>②生年月日</t>
    <rPh sb="1" eb="3">
      <t>せいねん</t>
    </rPh>
    <rPh sb="3" eb="5">
      <t>がっぴ</t>
    </rPh>
    <phoneticPr fontId="1" type="Hiragana"/>
  </si>
  <si>
    <t>2002年</t>
    <rPh sb="4" eb="5">
      <t>ねん</t>
    </rPh>
    <phoneticPr fontId="1" type="Hiragana"/>
  </si>
  <si>
    <t>平成6年</t>
    <rPh sb="0" eb="2">
      <t>へいせい</t>
    </rPh>
    <rPh sb="3" eb="4">
      <t>ねん</t>
    </rPh>
    <phoneticPr fontId="1" type="Hiragana"/>
  </si>
  <si>
    <t>世帯員5</t>
    <rPh sb="0" eb="3">
      <t>せたいいん</t>
    </rPh>
    <phoneticPr fontId="1" type="Hiragana"/>
  </si>
  <si>
    <r>
      <t>③給与収入</t>
    </r>
    <r>
      <rPr>
        <sz val="11"/>
        <color theme="1"/>
        <rFont val="ＭＳ Ｐゴシック"/>
      </rPr>
      <t xml:space="preserve">
　●給与所得の源泉徴収票の場合、赤枠の「支払金額」に
　記載されている金額を入力してください。
</t>
    </r>
    <r>
      <rPr>
        <sz val="9"/>
        <color theme="1"/>
        <rFont val="ＭＳ Ｐゴシック"/>
      </rPr>
      <t>　</t>
    </r>
    <r>
      <rPr>
        <sz val="11"/>
        <color theme="1"/>
        <rFont val="ＭＳ Ｐゴシック"/>
      </rPr>
      <t>※複数ある場合は合計額を入力</t>
    </r>
    <rPh sb="1" eb="3">
      <t>きゅうよ</t>
    </rPh>
    <rPh sb="3" eb="5">
      <t>しゅうにゅう</t>
    </rPh>
    <rPh sb="8" eb="10">
      <t>きゅうよ</t>
    </rPh>
    <rPh sb="10" eb="12">
      <t>しょとく</t>
    </rPh>
    <rPh sb="13" eb="15">
      <t>げんせん</t>
    </rPh>
    <rPh sb="15" eb="18">
      <t>ちょうしゅうひょう</t>
    </rPh>
    <rPh sb="19" eb="21">
      <t>ばあい</t>
    </rPh>
    <rPh sb="22" eb="23">
      <t>あか</t>
    </rPh>
    <rPh sb="23" eb="24">
      <t>わく</t>
    </rPh>
    <rPh sb="26" eb="28">
      <t>しはらい</t>
    </rPh>
    <rPh sb="28" eb="30">
      <t>きんがく</t>
    </rPh>
    <rPh sb="34" eb="36">
      <t>きさい</t>
    </rPh>
    <rPh sb="41" eb="43">
      <t>きんがく</t>
    </rPh>
    <rPh sb="44" eb="46">
      <t>にゅうりょく</t>
    </rPh>
    <rPh sb="56" eb="58">
      <t>ふくすう</t>
    </rPh>
    <rPh sb="60" eb="62">
      <t>ばあい</t>
    </rPh>
    <rPh sb="63" eb="66">
      <t>ごうけいがく</t>
    </rPh>
    <rPh sb="67" eb="69">
      <t>にゅうりょく</t>
    </rPh>
    <phoneticPr fontId="1" type="Hiragana"/>
  </si>
  <si>
    <t>日</t>
    <rPh sb="0" eb="1">
      <t>にち</t>
    </rPh>
    <phoneticPr fontId="1" type="Hiragana"/>
  </si>
  <si>
    <t>月</t>
    <rPh sb="0" eb="1">
      <t>つき</t>
    </rPh>
    <phoneticPr fontId="1" type="Hiragana"/>
  </si>
  <si>
    <t>世帯主</t>
    <rPh sb="0" eb="3">
      <t>せたいぬし</t>
    </rPh>
    <phoneticPr fontId="1" type="Hiragana"/>
  </si>
  <si>
    <t>世帯員4</t>
    <rPh sb="0" eb="3">
      <t>せたいいん</t>
    </rPh>
    <phoneticPr fontId="1" type="Hiragana"/>
  </si>
  <si>
    <t>世帯員1</t>
    <rPh sb="0" eb="3">
      <t>せたいいん</t>
    </rPh>
    <phoneticPr fontId="1" type="Hiragana"/>
  </si>
  <si>
    <t>世帯員2</t>
    <rPh sb="0" eb="3">
      <t>せたいいん</t>
    </rPh>
    <phoneticPr fontId="1" type="Hiragana"/>
  </si>
  <si>
    <t>年金所得以外の合計所得</t>
    <rPh sb="0" eb="2">
      <t>ねんきん</t>
    </rPh>
    <rPh sb="2" eb="4">
      <t>しょとく</t>
    </rPh>
    <rPh sb="4" eb="6">
      <t>いがい</t>
    </rPh>
    <rPh sb="7" eb="9">
      <t>ごうけい</t>
    </rPh>
    <rPh sb="9" eb="11">
      <t>しょとく</t>
    </rPh>
    <phoneticPr fontId="1" type="Hiragana"/>
  </si>
  <si>
    <t>昭和53年</t>
    <rPh sb="0" eb="2">
      <t>しょうわ</t>
    </rPh>
    <rPh sb="4" eb="5">
      <t>ねん</t>
    </rPh>
    <phoneticPr fontId="1" type="Hiragana"/>
  </si>
  <si>
    <t>世帯員3</t>
    <rPh sb="0" eb="3">
      <t>せたいいん</t>
    </rPh>
    <phoneticPr fontId="1" type="Hiragana"/>
  </si>
  <si>
    <t>2018年</t>
    <rPh sb="4" eb="5">
      <t>ねん</t>
    </rPh>
    <phoneticPr fontId="1" type="Hiragana"/>
  </si>
  <si>
    <t>昭和38年</t>
    <rPh sb="0" eb="2">
      <t>しょうわ</t>
    </rPh>
    <rPh sb="4" eb="5">
      <t>ねん</t>
    </rPh>
    <phoneticPr fontId="1" type="Hiragana"/>
  </si>
  <si>
    <t>2割軽減判定</t>
    <rPh sb="1" eb="2">
      <t>わり</t>
    </rPh>
    <rPh sb="2" eb="4">
      <t>けいげん</t>
    </rPh>
    <rPh sb="4" eb="6">
      <t>はんてい</t>
    </rPh>
    <phoneticPr fontId="1" type="Hiragana"/>
  </si>
  <si>
    <t>令和7年</t>
    <rPh sb="0" eb="2">
      <t>れいわ</t>
    </rPh>
    <rPh sb="3" eb="4">
      <t>ねん</t>
    </rPh>
    <phoneticPr fontId="1" type="Hiragana"/>
  </si>
  <si>
    <t>10月</t>
    <rPh sb="2" eb="3">
      <t>がつ</t>
    </rPh>
    <phoneticPr fontId="1" type="Hiragana"/>
  </si>
  <si>
    <t>　●確定申告書Aの場合、収入金額等欄の赤枠の「給与」に
　記載されている金額を入力してください。</t>
    <rPh sb="2" eb="4">
      <t>かくてい</t>
    </rPh>
    <rPh sb="4" eb="6">
      <t>しんこく</t>
    </rPh>
    <rPh sb="6" eb="7">
      <t>しょ</t>
    </rPh>
    <rPh sb="9" eb="11">
      <t>ばあい</t>
    </rPh>
    <rPh sb="12" eb="14">
      <t>しゅうにゅう</t>
    </rPh>
    <rPh sb="14" eb="16">
      <t>きんがく</t>
    </rPh>
    <rPh sb="16" eb="17">
      <t>とう</t>
    </rPh>
    <rPh sb="17" eb="18">
      <t>らん</t>
    </rPh>
    <rPh sb="19" eb="20">
      <t>あか</t>
    </rPh>
    <rPh sb="20" eb="21">
      <t>わく</t>
    </rPh>
    <rPh sb="23" eb="25">
      <t>きゅうよ</t>
    </rPh>
    <rPh sb="29" eb="31">
      <t>きさい</t>
    </rPh>
    <rPh sb="36" eb="38">
      <t>きんがく</t>
    </rPh>
    <rPh sb="39" eb="41">
      <t>にゅうりょく</t>
    </rPh>
    <phoneticPr fontId="1" type="Hiragana"/>
  </si>
  <si>
    <t>世帯主5</t>
    <rPh sb="0" eb="3">
      <t>せたいぬし</t>
    </rPh>
    <phoneticPr fontId="1" type="Hiragana"/>
  </si>
  <si>
    <t>控除後</t>
    <rPh sb="0" eb="2">
      <t>こうじょ</t>
    </rPh>
    <rPh sb="2" eb="3">
      <t>ご</t>
    </rPh>
    <phoneticPr fontId="1" type="Hiragana"/>
  </si>
  <si>
    <t>給与所得</t>
    <rPh sb="0" eb="2">
      <t>きゅうよ</t>
    </rPh>
    <rPh sb="2" eb="4">
      <t>しょとく</t>
    </rPh>
    <phoneticPr fontId="1" type="Hiragana"/>
  </si>
  <si>
    <r>
      <t>③給与</t>
    </r>
    <r>
      <rPr>
        <b/>
        <sz val="11"/>
        <color rgb="FF0027C0"/>
        <rFont val="ＭＳ Ｐゴシック"/>
      </rPr>
      <t>収入</t>
    </r>
    <rPh sb="1" eb="3">
      <t>きゅうよ</t>
    </rPh>
    <rPh sb="3" eb="5">
      <t>しゅうにゅう</t>
    </rPh>
    <phoneticPr fontId="1" type="Hiragana"/>
  </si>
  <si>
    <t>その他の所得</t>
    <rPh sb="2" eb="3">
      <t>た</t>
    </rPh>
    <rPh sb="4" eb="6">
      <t>しょとく</t>
    </rPh>
    <phoneticPr fontId="1" type="Hiragana"/>
  </si>
  <si>
    <r>
      <t>④年金</t>
    </r>
    <r>
      <rPr>
        <b/>
        <sz val="11"/>
        <color rgb="FF0027C0"/>
        <rFont val="ＭＳ Ｐゴシック"/>
      </rPr>
      <t>収入</t>
    </r>
    <rPh sb="1" eb="3">
      <t>ねんきん</t>
    </rPh>
    <rPh sb="3" eb="5">
      <t>しゅうにゅう</t>
    </rPh>
    <phoneticPr fontId="1" type="Hiragana"/>
  </si>
  <si>
    <t>給与所得計算表</t>
    <rPh sb="0" eb="2">
      <t>きゅうよ</t>
    </rPh>
    <rPh sb="2" eb="4">
      <t>しょとく</t>
    </rPh>
    <rPh sb="4" eb="7">
      <t>けいさんひょう</t>
    </rPh>
    <phoneticPr fontId="1" type="Hiragana"/>
  </si>
  <si>
    <t>軽減判定用所得</t>
    <rPh sb="0" eb="2">
      <t>けいげん</t>
    </rPh>
    <rPh sb="2" eb="4">
      <t>はんてい</t>
    </rPh>
    <rPh sb="4" eb="5">
      <t>よう</t>
    </rPh>
    <rPh sb="5" eb="7">
      <t>しょとく</t>
    </rPh>
    <phoneticPr fontId="1" type="Hiragana"/>
  </si>
  <si>
    <t>65歳
以上</t>
    <rPh sb="2" eb="3">
      <t>さい</t>
    </rPh>
    <rPh sb="4" eb="6">
      <t>いじょう</t>
    </rPh>
    <phoneticPr fontId="1" type="Hiragana"/>
  </si>
  <si>
    <t>平等割（医療分）</t>
    <rPh sb="0" eb="2">
      <t>びょうどう</t>
    </rPh>
    <rPh sb="2" eb="3">
      <t>わり</t>
    </rPh>
    <rPh sb="4" eb="6">
      <t>いりょう</t>
    </rPh>
    <rPh sb="6" eb="7">
      <t>ぶん</t>
    </rPh>
    <phoneticPr fontId="1" type="Hiragana"/>
  </si>
  <si>
    <t>所得金額調整控除額</t>
    <rPh sb="0" eb="2">
      <t>しょとく</t>
    </rPh>
    <rPh sb="2" eb="4">
      <t>きんがく</t>
    </rPh>
    <rPh sb="4" eb="6">
      <t>ちょうせい</t>
    </rPh>
    <rPh sb="6" eb="9">
      <t>こうじょがく</t>
    </rPh>
    <phoneticPr fontId="1" type="Hiragana"/>
  </si>
  <si>
    <t>基礎控除後</t>
    <rPh sb="0" eb="2">
      <t>きそ</t>
    </rPh>
    <rPh sb="2" eb="4">
      <t>こうじょ</t>
    </rPh>
    <rPh sb="4" eb="5">
      <t>ご</t>
    </rPh>
    <phoneticPr fontId="1" type="Hiragana"/>
  </si>
  <si>
    <t>第6期</t>
    <rPh sb="0" eb="1">
      <t>だい</t>
    </rPh>
    <rPh sb="2" eb="3">
      <t>き</t>
    </rPh>
    <phoneticPr fontId="1" type="Hiragana"/>
  </si>
  <si>
    <t>医療分</t>
    <rPh sb="0" eb="2">
      <t>いりょう</t>
    </rPh>
    <rPh sb="2" eb="3">
      <t>ぶん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</si>
  <si>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</si>
  <si>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基準所得</t>
    <rPh sb="0" eb="2">
      <t>きじゅん</t>
    </rPh>
    <rPh sb="2" eb="4">
      <t>しょとく</t>
    </rPh>
    <phoneticPr fontId="1" type="Hiragana"/>
  </si>
  <si>
    <t>1939年</t>
    <rPh sb="4" eb="5">
      <t>ねん</t>
    </rPh>
    <phoneticPr fontId="1" type="Hiragana"/>
  </si>
  <si>
    <t>支援分</t>
    <rPh sb="0" eb="2">
      <t>しえん</t>
    </rPh>
    <rPh sb="2" eb="3">
      <t>ぶん</t>
    </rPh>
    <phoneticPr fontId="1" type="Hiragana"/>
  </si>
  <si>
    <t>1957年</t>
    <rPh sb="4" eb="5">
      <t>ねん</t>
    </rPh>
    <phoneticPr fontId="1" type="Hiragana"/>
  </si>
  <si>
    <t>1932年</t>
    <rPh sb="4" eb="5">
      <t>ねん</t>
    </rPh>
    <phoneticPr fontId="1" type="Hiragana"/>
  </si>
  <si>
    <t>←年金収入</t>
    <rPh sb="1" eb="3">
      <t>ねんきん</t>
    </rPh>
    <rPh sb="3" eb="5">
      <t>しゅうにゅう</t>
    </rPh>
    <phoneticPr fontId="1" type="Hiragana"/>
  </si>
  <si>
    <t>介護分</t>
    <rPh sb="0" eb="2">
      <t>かいご</t>
    </rPh>
    <rPh sb="2" eb="3">
      <t>ぶん</t>
    </rPh>
    <phoneticPr fontId="1" type="Hiragana"/>
  </si>
  <si>
    <t>1999年</t>
    <rPh sb="4" eb="5">
      <t>ねん</t>
    </rPh>
    <phoneticPr fontId="1" type="Hiragana"/>
  </si>
  <si>
    <t>年金所得</t>
    <rPh sb="0" eb="2">
      <t>ねんきん</t>
    </rPh>
    <rPh sb="2" eb="4">
      <t>しょとく</t>
    </rPh>
    <phoneticPr fontId="1" type="Hiragana"/>
  </si>
  <si>
    <t>平成29年</t>
    <rPh sb="0" eb="2">
      <t>へいせい</t>
    </rPh>
    <rPh sb="4" eb="5">
      <t>ねん</t>
    </rPh>
    <phoneticPr fontId="1" type="Hiragana"/>
  </si>
  <si>
    <t>年金所得計算表
（年金所得以外の合計所得1,000万円以下の場合）</t>
    <rPh sb="0" eb="2">
      <t>ねんきん</t>
    </rPh>
    <rPh sb="2" eb="4">
      <t>しょとく</t>
    </rPh>
    <rPh sb="4" eb="7">
      <t>けいさんひょう</t>
    </rPh>
    <rPh sb="9" eb="11">
      <t>ねんきん</t>
    </rPh>
    <rPh sb="11" eb="13">
      <t>しょとく</t>
    </rPh>
    <rPh sb="13" eb="15">
      <t>いがい</t>
    </rPh>
    <rPh sb="16" eb="18">
      <t>ごうけい</t>
    </rPh>
    <rPh sb="18" eb="20">
      <t>しょとく</t>
    </rPh>
    <rPh sb="25" eb="26">
      <t>まん</t>
    </rPh>
    <rPh sb="26" eb="29">
      <t>えんいか</t>
    </rPh>
    <rPh sb="30" eb="32">
      <t>ばあい</t>
    </rPh>
    <phoneticPr fontId="1" type="Hiragana"/>
  </si>
  <si>
    <t>昭和23年</t>
    <rPh sb="0" eb="2">
      <t>しょうわ</t>
    </rPh>
    <rPh sb="4" eb="5">
      <t>ねん</t>
    </rPh>
    <phoneticPr fontId="1" type="Hiragana"/>
  </si>
  <si>
    <t>↓65歳以上は－15万円</t>
    <rPh sb="3" eb="4">
      <t>さい</t>
    </rPh>
    <rPh sb="4" eb="6">
      <t>いじょう</t>
    </rPh>
    <rPh sb="10" eb="12">
      <t>まんえん</t>
    </rPh>
    <phoneticPr fontId="1" type="Hiragana"/>
  </si>
  <si>
    <t>7月</t>
    <rPh sb="1" eb="2">
      <t>がつ</t>
    </rPh>
    <phoneticPr fontId="1" type="Hiragana"/>
  </si>
  <si>
    <t>年金所得計算表
（年金所得以外の合計所得
2,000,001円以下の場合）</t>
    <rPh sb="0" eb="2">
      <t>ねんきん</t>
    </rPh>
    <rPh sb="2" eb="4">
      <t>しょとく</t>
    </rPh>
    <rPh sb="4" eb="7">
      <t>けいさんひょう</t>
    </rPh>
    <rPh sb="9" eb="11">
      <t>ねんきん</t>
    </rPh>
    <rPh sb="11" eb="13">
      <t>しょとく</t>
    </rPh>
    <rPh sb="13" eb="15">
      <t>いがい</t>
    </rPh>
    <rPh sb="16" eb="18">
      <t>ごうけい</t>
    </rPh>
    <rPh sb="18" eb="20">
      <t>しょとく</t>
    </rPh>
    <rPh sb="30" eb="33">
      <t>えんいか</t>
    </rPh>
    <rPh sb="34" eb="36">
      <t>ばあい</t>
    </rPh>
    <phoneticPr fontId="1" type="Hiragana"/>
  </si>
  <si>
    <t>世帯構成員</t>
    <rPh sb="0" eb="2">
      <t>せたい</t>
    </rPh>
    <rPh sb="2" eb="5">
      <t>こうせいいん</t>
    </rPh>
    <phoneticPr fontId="1" type="Hiragana"/>
  </si>
  <si>
    <t>算定期間</t>
    <rPh sb="0" eb="2">
      <t>さんてい</t>
    </rPh>
    <rPh sb="2" eb="4">
      <t>きかん</t>
    </rPh>
    <phoneticPr fontId="1" type="Hiragana"/>
  </si>
  <si>
    <t>←年齢</t>
    <rPh sb="1" eb="3">
      <t>ねんれい</t>
    </rPh>
    <phoneticPr fontId="1" type="Hiragana"/>
  </si>
  <si>
    <t>昭和11年</t>
    <rPh sb="0" eb="2">
      <t>しょうわ</t>
    </rPh>
    <rPh sb="4" eb="5">
      <t>ねん</t>
    </rPh>
    <phoneticPr fontId="1" type="Hiragana"/>
  </si>
  <si>
    <t>総所得金額等</t>
    <rPh sb="0" eb="3">
      <t>そうしょとく</t>
    </rPh>
    <rPh sb="3" eb="4">
      <t>きん</t>
    </rPh>
    <rPh sb="4" eb="5">
      <t>がく</t>
    </rPh>
    <rPh sb="5" eb="6">
      <t>とう</t>
    </rPh>
    <phoneticPr fontId="1" type="Hiragana"/>
  </si>
  <si>
    <t>平等割（介護分）</t>
    <rPh sb="0" eb="2">
      <t>びょうどう</t>
    </rPh>
    <rPh sb="2" eb="3">
      <t>わり</t>
    </rPh>
    <rPh sb="4" eb="6">
      <t>かいご</t>
    </rPh>
    <rPh sb="6" eb="7">
      <t>ぶん</t>
    </rPh>
    <phoneticPr fontId="1" type="Hiragana"/>
  </si>
  <si>
    <t>限度額</t>
    <rPh sb="0" eb="3">
      <t>げんどがく</t>
    </rPh>
    <phoneticPr fontId="1" type="Hiragana"/>
  </si>
  <si>
    <t>7割軽減判定</t>
    <rPh sb="1" eb="2">
      <t>わり</t>
    </rPh>
    <rPh sb="2" eb="4">
      <t>けいげん</t>
    </rPh>
    <rPh sb="4" eb="6">
      <t>はんてい</t>
    </rPh>
    <phoneticPr fontId="1" type="Hiragana"/>
  </si>
  <si>
    <t>～</t>
  </si>
  <si>
    <t>給与収入</t>
    <rPh sb="0" eb="2">
      <t>きゅうよ</t>
    </rPh>
    <rPh sb="2" eb="4">
      <t>しゅうにゅう</t>
    </rPh>
    <phoneticPr fontId="1" type="Hiragana"/>
  </si>
  <si>
    <t>←給与収入</t>
    <rPh sb="1" eb="3">
      <t>きゅうよ</t>
    </rPh>
    <rPh sb="3" eb="5">
      <t>しゅうにゅう</t>
    </rPh>
    <phoneticPr fontId="1" type="Hiragana"/>
  </si>
  <si>
    <t>昭和62年</t>
    <rPh sb="0" eb="2">
      <t>しょうわ</t>
    </rPh>
    <rPh sb="4" eb="5">
      <t>ねん</t>
    </rPh>
    <phoneticPr fontId="1" type="Hiragana"/>
  </si>
  <si>
    <t>年金収入</t>
    <rPh sb="0" eb="2">
      <t>ねんきん</t>
    </rPh>
    <rPh sb="2" eb="4">
      <t>しゅうにゅう</t>
    </rPh>
    <phoneticPr fontId="1" type="Hiragana"/>
  </si>
  <si>
    <t>所得割算出基準額</t>
    <rPh sb="0" eb="3">
      <t>しょとくわり</t>
    </rPh>
    <rPh sb="3" eb="5">
      <t>さんしゅつ</t>
    </rPh>
    <rPh sb="5" eb="8">
      <t>きじゅんがく</t>
    </rPh>
    <phoneticPr fontId="1" type="Hiragana"/>
  </si>
  <si>
    <t>軽減判定用
年金所得</t>
    <rPh sb="0" eb="2">
      <t>けいげん</t>
    </rPh>
    <rPh sb="2" eb="4">
      <t>はんてい</t>
    </rPh>
    <rPh sb="4" eb="5">
      <t>よう</t>
    </rPh>
    <rPh sb="6" eb="8">
      <t>ねんきん</t>
    </rPh>
    <rPh sb="8" eb="10">
      <t>しょとく</t>
    </rPh>
    <phoneticPr fontId="1" type="Hiragana"/>
  </si>
  <si>
    <t>1月</t>
    <rPh sb="1" eb="2">
      <t>がつ</t>
    </rPh>
    <phoneticPr fontId="1" type="Hiragana"/>
  </si>
  <si>
    <t>軽減判定用
総所得金額等</t>
    <rPh sb="0" eb="2">
      <t>けいげん</t>
    </rPh>
    <rPh sb="2" eb="4">
      <t>はんてい</t>
    </rPh>
    <rPh sb="4" eb="5">
      <t>よう</t>
    </rPh>
    <rPh sb="6" eb="9">
      <t>そうしょとく</t>
    </rPh>
    <rPh sb="9" eb="11">
      <t>きんがく</t>
    </rPh>
    <rPh sb="11" eb="12">
      <t>とう</t>
    </rPh>
    <phoneticPr fontId="1" type="Hiragana"/>
  </si>
  <si>
    <t>65歳
未満</t>
    <rPh sb="2" eb="3">
      <t>さい</t>
    </rPh>
    <rPh sb="4" eb="6">
      <t>みまん</t>
    </rPh>
    <phoneticPr fontId="1" type="Hiragana"/>
  </si>
  <si>
    <t>割軽減</t>
    <rPh sb="0" eb="1">
      <t>わ</t>
    </rPh>
    <rPh sb="1" eb="3">
      <t>けいげん</t>
    </rPh>
    <phoneticPr fontId="1" type="Hiragana"/>
  </si>
  <si>
    <t>控除額</t>
    <rPh sb="0" eb="2">
      <t>こうじょ</t>
    </rPh>
    <rPh sb="2" eb="3">
      <t>がく</t>
    </rPh>
    <phoneticPr fontId="1" type="Hiragana"/>
  </si>
  <si>
    <t>年金所得計算表
（年金所得以外の合計所得～2,000万円以下の場合）</t>
    <rPh sb="0" eb="2">
      <t>ねんきん</t>
    </rPh>
    <rPh sb="2" eb="4">
      <t>しょとく</t>
    </rPh>
    <rPh sb="4" eb="7">
      <t>けいさんひょう</t>
    </rPh>
    <rPh sb="9" eb="11">
      <t>ねんきん</t>
    </rPh>
    <rPh sb="11" eb="13">
      <t>しょとく</t>
    </rPh>
    <rPh sb="13" eb="15">
      <t>いがい</t>
    </rPh>
    <rPh sb="16" eb="18">
      <t>ごうけい</t>
    </rPh>
    <rPh sb="18" eb="20">
      <t>しょとく</t>
    </rPh>
    <rPh sb="26" eb="27">
      <t>まん</t>
    </rPh>
    <rPh sb="27" eb="30">
      <t>えんいか</t>
    </rPh>
    <rPh sb="31" eb="33">
      <t>ばあい</t>
    </rPh>
    <phoneticPr fontId="1" type="Hiragana"/>
  </si>
  <si>
    <t>人数</t>
    <rPh sb="0" eb="2">
      <t>にんずう</t>
    </rPh>
    <phoneticPr fontId="1" type="Hiragana"/>
  </si>
  <si>
    <t>1949年</t>
    <rPh sb="4" eb="5">
      <t>ねん</t>
    </rPh>
    <phoneticPr fontId="1" type="Hiragana"/>
  </si>
  <si>
    <t>5割軽減判定</t>
    <rPh sb="1" eb="2">
      <t>わり</t>
    </rPh>
    <rPh sb="2" eb="4">
      <t>けいげん</t>
    </rPh>
    <rPh sb="4" eb="6">
      <t>はんてい</t>
    </rPh>
    <phoneticPr fontId="1" type="Hiragana"/>
  </si>
  <si>
    <t>給与所得者
等の数</t>
    <rPh sb="0" eb="2">
      <t>きゅうよ</t>
    </rPh>
    <rPh sb="2" eb="5">
      <t>しょとくしゃ</t>
    </rPh>
    <rPh sb="6" eb="7">
      <t>とう</t>
    </rPh>
    <rPh sb="8" eb="9">
      <t>かず</t>
    </rPh>
    <phoneticPr fontId="1" type="Hiragana"/>
  </si>
  <si>
    <t>⇒</t>
  </si>
  <si>
    <t>平等割</t>
    <rPh sb="0" eb="3">
      <t>びょうどうわり</t>
    </rPh>
    <phoneticPr fontId="1" type="Hiragana"/>
  </si>
  <si>
    <t>計</t>
    <rPh sb="0" eb="1">
      <t>けい</t>
    </rPh>
    <phoneticPr fontId="1" type="Hiragana"/>
  </si>
  <si>
    <t>介護保険分</t>
    <rPh sb="0" eb="2">
      <t>かいご</t>
    </rPh>
    <rPh sb="2" eb="4">
      <t>ほけん</t>
    </rPh>
    <rPh sb="4" eb="5">
      <t>ぶん</t>
    </rPh>
    <phoneticPr fontId="1" type="Hiragana"/>
  </si>
  <si>
    <t>1942年</t>
    <rPh sb="4" eb="5">
      <t>ねん</t>
    </rPh>
    <phoneticPr fontId="1" type="Hiragana"/>
  </si>
  <si>
    <t>昭和36年</t>
    <rPh sb="0" eb="2">
      <t>しょうわ</t>
    </rPh>
    <rPh sb="4" eb="5">
      <t>ねん</t>
    </rPh>
    <phoneticPr fontId="1" type="Hiragana"/>
  </si>
  <si>
    <t>未就学児
基準年月日</t>
    <rPh sb="0" eb="4">
      <t>みしゅうがくじ</t>
    </rPh>
    <rPh sb="5" eb="7">
      <t>きじゅん</t>
    </rPh>
    <rPh sb="7" eb="10">
      <t>ねんがっぴ</t>
    </rPh>
    <phoneticPr fontId="1" type="Hiragana"/>
  </si>
  <si>
    <t>左記基準現在
の年齢</t>
    <rPh sb="0" eb="2">
      <t>さき</t>
    </rPh>
    <rPh sb="2" eb="4">
      <t>きじゅん</t>
    </rPh>
    <rPh sb="4" eb="6">
      <t>げんざい</t>
    </rPh>
    <rPh sb="8" eb="10">
      <t>ねんれい</t>
    </rPh>
    <phoneticPr fontId="1" type="Hiragana"/>
  </si>
  <si>
    <t>昭和29年</t>
    <rPh sb="0" eb="2">
      <t>しょうわ</t>
    </rPh>
    <rPh sb="4" eb="5">
      <t>ねん</t>
    </rPh>
    <phoneticPr fontId="1" type="Hiragana"/>
  </si>
  <si>
    <t>未就学児
均等割軽減割</t>
    <rPh sb="0" eb="4">
      <t>みしゅうがくじ</t>
    </rPh>
    <rPh sb="5" eb="8">
      <t>きんとうわり</t>
    </rPh>
    <rPh sb="8" eb="10">
      <t>けいげん</t>
    </rPh>
    <rPh sb="10" eb="11">
      <t>わ</t>
    </rPh>
    <phoneticPr fontId="1" type="Hiragana"/>
  </si>
  <si>
    <t>平成14年</t>
    <rPh sb="0" eb="2">
      <t>へいせい</t>
    </rPh>
    <rPh sb="4" eb="5">
      <t>ねん</t>
    </rPh>
    <phoneticPr fontId="1" type="Hiragana"/>
  </si>
  <si>
    <t>所得割</t>
    <rPh sb="0" eb="3">
      <t>しょとくわり</t>
    </rPh>
    <phoneticPr fontId="1" type="Hiragana"/>
  </si>
  <si>
    <t>均等割</t>
    <rPh sb="0" eb="3">
      <t>きんとうわり</t>
    </rPh>
    <phoneticPr fontId="1" type="Hiragana"/>
  </si>
  <si>
    <t>年間保険税額</t>
    <rPh sb="0" eb="2">
      <t>ねんかん</t>
    </rPh>
    <rPh sb="2" eb="5">
      <t>ほけんぜい</t>
    </rPh>
    <rPh sb="5" eb="6">
      <t>がく</t>
    </rPh>
    <phoneticPr fontId="1" type="Hiragana"/>
  </si>
  <si>
    <t>○</t>
  </si>
  <si>
    <t>・ 国民健康保険税は、世帯主（国民健康保険でない場合も含む）に課税されます。</t>
    <rPh sb="2" eb="4">
      <t>こくみん</t>
    </rPh>
    <rPh sb="4" eb="6">
      <t>けんこう</t>
    </rPh>
    <rPh sb="6" eb="9">
      <t>ほけんぜい</t>
    </rPh>
    <rPh sb="11" eb="14">
      <t>せたいぬし</t>
    </rPh>
    <rPh sb="15" eb="17">
      <t>こくみん</t>
    </rPh>
    <rPh sb="17" eb="19">
      <t>けんこう</t>
    </rPh>
    <rPh sb="19" eb="21">
      <t>ほけん</t>
    </rPh>
    <rPh sb="24" eb="26">
      <t>ばあい</t>
    </rPh>
    <rPh sb="27" eb="28">
      <t>ふく</t>
    </rPh>
    <rPh sb="31" eb="33">
      <t>かぜい</t>
    </rPh>
    <phoneticPr fontId="1" type="Hiragana"/>
  </si>
  <si>
    <t>令和7年7月</t>
    <rPh sb="0" eb="2">
      <t>れいわ</t>
    </rPh>
    <rPh sb="3" eb="4">
      <t>ねん</t>
    </rPh>
    <rPh sb="5" eb="6">
      <t>がつ</t>
    </rPh>
    <phoneticPr fontId="1" type="Hiragana"/>
  </si>
  <si>
    <t>・ この試算表による税額は概算ですので、実際の税額と異なる場合があります。</t>
    <rPh sb="4" eb="7">
      <t>しさんひょう</t>
    </rPh>
    <rPh sb="10" eb="12">
      <t>ぜいがく</t>
    </rPh>
    <rPh sb="13" eb="15">
      <t>がいさん</t>
    </rPh>
    <rPh sb="20" eb="22">
      <t>じっさい</t>
    </rPh>
    <rPh sb="23" eb="25">
      <t>ぜいがく</t>
    </rPh>
    <rPh sb="26" eb="27">
      <t>こと</t>
    </rPh>
    <rPh sb="29" eb="31">
      <t>ばあい</t>
    </rPh>
    <phoneticPr fontId="1" type="Hiragana"/>
  </si>
  <si>
    <t>2004年</t>
    <rPh sb="4" eb="5">
      <t>ねん</t>
    </rPh>
    <phoneticPr fontId="1" type="Hiragana"/>
  </si>
  <si>
    <t>均等割額</t>
    <rPh sb="0" eb="4">
      <t>きんとうわりがく</t>
    </rPh>
    <phoneticPr fontId="1" type="Hiragana"/>
  </si>
  <si>
    <t>最高10万円</t>
    <rPh sb="0" eb="2">
      <t>さいこう</t>
    </rPh>
    <rPh sb="4" eb="6">
      <t>まんえん</t>
    </rPh>
    <phoneticPr fontId="1" type="Hiragana"/>
  </si>
  <si>
    <t>●次をお読みになり、下表に入力してください。</t>
    <rPh sb="1" eb="2">
      <t>つぎ</t>
    </rPh>
    <rPh sb="4" eb="5">
      <t>よ</t>
    </rPh>
    <rPh sb="10" eb="11">
      <t>した</t>
    </rPh>
    <rPh sb="11" eb="12">
      <t>ひょう</t>
    </rPh>
    <rPh sb="13" eb="15">
      <t>にゅうりょく</t>
    </rPh>
    <phoneticPr fontId="1" type="Hiragana"/>
  </si>
  <si>
    <t>1951年</t>
    <rPh sb="4" eb="5">
      <t>ねん</t>
    </rPh>
    <phoneticPr fontId="1" type="Hiragana"/>
  </si>
  <si>
    <t>2009年</t>
    <rPh sb="4" eb="5">
      <t>ねん</t>
    </rPh>
    <phoneticPr fontId="1" type="Hiragana"/>
  </si>
  <si>
    <t>1955年</t>
    <rPh sb="4" eb="5">
      <t>ねん</t>
    </rPh>
    <phoneticPr fontId="1" type="Hiragana"/>
  </si>
  <si>
    <t>3　給与収入金額（源泉徴収票の支払金額）が、2か所以上ある方は合計して入力してください。</t>
    <rPh sb="2" eb="4">
      <t>きゅうよ</t>
    </rPh>
    <rPh sb="4" eb="6">
      <t>しゅうにゅう</t>
    </rPh>
    <rPh sb="6" eb="8">
      <t>きんがく</t>
    </rPh>
    <rPh sb="9" eb="11">
      <t>げんせん</t>
    </rPh>
    <rPh sb="11" eb="14">
      <t>ちょうしゅうひょう</t>
    </rPh>
    <rPh sb="15" eb="17">
      <t>しはらい</t>
    </rPh>
    <rPh sb="17" eb="19">
      <t>きんがく</t>
    </rPh>
    <rPh sb="24" eb="25">
      <t>しょ</t>
    </rPh>
    <rPh sb="25" eb="27">
      <t>いじょう</t>
    </rPh>
    <rPh sb="29" eb="30">
      <t>かた</t>
    </rPh>
    <rPh sb="31" eb="33">
      <t>ごうけい</t>
    </rPh>
    <rPh sb="35" eb="37">
      <t>にゅうりょく</t>
    </rPh>
    <phoneticPr fontId="1" type="Hiragana"/>
  </si>
  <si>
    <t>4　年金収入金額（厚生年金・国民年金・共済年金・企業年金の源泉徴収票の支払金額の合計）を入力してください。</t>
    <rPh sb="2" eb="4">
      <t>ねんきん</t>
    </rPh>
    <rPh sb="4" eb="6">
      <t>しゅうにゅう</t>
    </rPh>
    <rPh sb="6" eb="8">
      <t>きんがく</t>
    </rPh>
    <rPh sb="9" eb="11">
      <t>こうせい</t>
    </rPh>
    <rPh sb="11" eb="13">
      <t>ねんきん</t>
    </rPh>
    <rPh sb="14" eb="16">
      <t>こくみん</t>
    </rPh>
    <rPh sb="16" eb="18">
      <t>ねんきん</t>
    </rPh>
    <rPh sb="19" eb="21">
      <t>きょうさい</t>
    </rPh>
    <rPh sb="21" eb="23">
      <t>ねんきん</t>
    </rPh>
    <rPh sb="24" eb="26">
      <t>きぎょう</t>
    </rPh>
    <rPh sb="26" eb="28">
      <t>ねんきん</t>
    </rPh>
    <rPh sb="29" eb="31">
      <t>げんせん</t>
    </rPh>
    <rPh sb="31" eb="34">
      <t>ちょうしゅうひょう</t>
    </rPh>
    <rPh sb="35" eb="37">
      <t>しはらい</t>
    </rPh>
    <rPh sb="37" eb="39">
      <t>きんがく</t>
    </rPh>
    <rPh sb="40" eb="42">
      <t>ごうけい</t>
    </rPh>
    <rPh sb="44" eb="46">
      <t>にゅうりょく</t>
    </rPh>
    <phoneticPr fontId="1" type="Hiragana"/>
  </si>
  <si>
    <t>昭和39年</t>
    <rPh sb="0" eb="2">
      <t>しょうわ</t>
    </rPh>
    <rPh sb="4" eb="5">
      <t>ねん</t>
    </rPh>
    <phoneticPr fontId="1" type="Hiragana"/>
  </si>
  <si>
    <t>　　※次の場合には、正確な試算ができませんので、直接お問い合わせください。</t>
    <rPh sb="3" eb="4">
      <t>つぎ</t>
    </rPh>
    <rPh sb="5" eb="7">
      <t>ばあい</t>
    </rPh>
    <rPh sb="10" eb="12">
      <t>せいかく</t>
    </rPh>
    <rPh sb="13" eb="15">
      <t>しさん</t>
    </rPh>
    <rPh sb="24" eb="26">
      <t>ちょくせつ</t>
    </rPh>
    <rPh sb="27" eb="28">
      <t>と</t>
    </rPh>
    <rPh sb="29" eb="30">
      <t>あ</t>
    </rPh>
    <phoneticPr fontId="1" type="Hiragana"/>
  </si>
  <si>
    <t>　　ただし、遺族年金・障害年金は除きます。</t>
    <rPh sb="6" eb="8">
      <t>いぞく</t>
    </rPh>
    <rPh sb="8" eb="10">
      <t>ねんきん</t>
    </rPh>
    <rPh sb="11" eb="13">
      <t>しょうがい</t>
    </rPh>
    <rPh sb="13" eb="15">
      <t>ねんきん</t>
    </rPh>
    <rPh sb="16" eb="17">
      <t>のぞ</t>
    </rPh>
    <phoneticPr fontId="1" type="Hiragana"/>
  </si>
  <si>
    <t>大正11年</t>
    <rPh sb="0" eb="2">
      <t>たいしょう</t>
    </rPh>
    <rPh sb="4" eb="5">
      <t>ねん</t>
    </rPh>
    <phoneticPr fontId="1" type="Hiragana"/>
  </si>
  <si>
    <t>　　　  ・分離課税所得、専従者給与・控除、純・雑損失の繰越控除がある方がいる場合</t>
    <rPh sb="6" eb="8">
      <t>ぶんり</t>
    </rPh>
    <rPh sb="8" eb="10">
      <t>かぜい</t>
    </rPh>
    <rPh sb="10" eb="12">
      <t>しょとく</t>
    </rPh>
    <rPh sb="13" eb="16">
      <t>せんじゅうしゃ</t>
    </rPh>
    <rPh sb="16" eb="18">
      <t>きゅうよ</t>
    </rPh>
    <rPh sb="19" eb="21">
      <t>こうじょ</t>
    </rPh>
    <rPh sb="22" eb="23">
      <t>じゅん</t>
    </rPh>
    <rPh sb="24" eb="27">
      <t>ざつそんしつ</t>
    </rPh>
    <rPh sb="28" eb="30">
      <t>くりこし</t>
    </rPh>
    <rPh sb="30" eb="32">
      <t>こうじょ</t>
    </rPh>
    <rPh sb="35" eb="36">
      <t>かた</t>
    </rPh>
    <rPh sb="39" eb="41">
      <t>ばあい</t>
    </rPh>
    <phoneticPr fontId="1" type="Hiragana"/>
  </si>
  <si>
    <t>　　　　・世帯主及び加入者に所得不明者（未申告者）がいる場合</t>
    <rPh sb="5" eb="8">
      <t>せたいぬし</t>
    </rPh>
    <rPh sb="8" eb="9">
      <t>およ</t>
    </rPh>
    <rPh sb="10" eb="13">
      <t>かにゅうしゃ</t>
    </rPh>
    <rPh sb="14" eb="16">
      <t>しょとく</t>
    </rPh>
    <rPh sb="16" eb="19">
      <t>ふめいしゃ</t>
    </rPh>
    <rPh sb="20" eb="23">
      <t>みしんこく</t>
    </rPh>
    <rPh sb="23" eb="24">
      <t>しゃ</t>
    </rPh>
    <rPh sb="28" eb="30">
      <t>ばあい</t>
    </rPh>
    <phoneticPr fontId="1" type="Hiragana"/>
  </si>
  <si>
    <t>　　　  ・雇用保険受給資格者（特定受給資格者、特定理由離職者）に対する軽減に該当する方がいる場合</t>
    <rPh sb="6" eb="8">
      <t>こよう</t>
    </rPh>
    <rPh sb="8" eb="10">
      <t>ほけん</t>
    </rPh>
    <rPh sb="10" eb="12">
      <t>じゅきゅう</t>
    </rPh>
    <rPh sb="12" eb="14">
      <t>しかく</t>
    </rPh>
    <rPh sb="14" eb="15">
      <t>しゃ</t>
    </rPh>
    <rPh sb="16" eb="18">
      <t>とくてい</t>
    </rPh>
    <rPh sb="18" eb="20">
      <t>じゅきゅう</t>
    </rPh>
    <rPh sb="20" eb="23">
      <t>しかくしゃ</t>
    </rPh>
    <rPh sb="24" eb="26">
      <t>とくてい</t>
    </rPh>
    <rPh sb="26" eb="28">
      <t>りゆう</t>
    </rPh>
    <rPh sb="28" eb="31">
      <t>りしょくしゃ</t>
    </rPh>
    <rPh sb="33" eb="34">
      <t>たい</t>
    </rPh>
    <rPh sb="36" eb="38">
      <t>けいげん</t>
    </rPh>
    <rPh sb="39" eb="41">
      <t>がいとう</t>
    </rPh>
    <rPh sb="43" eb="44">
      <t>かた</t>
    </rPh>
    <rPh sb="47" eb="49">
      <t>ばあい</t>
    </rPh>
    <phoneticPr fontId="1" type="Hiragana"/>
  </si>
  <si>
    <t>★以下の欄（黄色）に半角数字で入力してください。</t>
    <rPh sb="1" eb="3">
      <t>いか</t>
    </rPh>
    <rPh sb="4" eb="5">
      <t>らん</t>
    </rPh>
    <rPh sb="6" eb="8">
      <t>きいろ</t>
    </rPh>
    <rPh sb="10" eb="12">
      <t>はんかく</t>
    </rPh>
    <rPh sb="12" eb="14">
      <t>すうじ</t>
    </rPh>
    <rPh sb="15" eb="17">
      <t>にゅうりょく</t>
    </rPh>
    <phoneticPr fontId="1" type="Hiragana"/>
  </si>
  <si>
    <t>1940年</t>
    <rPh sb="4" eb="5">
      <t>ねん</t>
    </rPh>
    <phoneticPr fontId="1" type="Hiragana"/>
  </si>
  <si>
    <t>1996年</t>
    <rPh sb="4" eb="5">
      <t>ねん</t>
    </rPh>
    <phoneticPr fontId="1" type="Hiragana"/>
  </si>
  <si>
    <t>2014年</t>
    <rPh sb="4" eb="5">
      <t>ねん</t>
    </rPh>
    <phoneticPr fontId="1" type="Hiragana"/>
  </si>
  <si>
    <t>平成26年</t>
    <rPh sb="0" eb="2">
      <t>へいせい</t>
    </rPh>
    <rPh sb="4" eb="5">
      <t>ねん</t>
    </rPh>
    <phoneticPr fontId="1" type="Hiragana"/>
  </si>
  <si>
    <t>平成31年
令和元年</t>
    <rPh sb="0" eb="2">
      <t>へいせい</t>
    </rPh>
    <rPh sb="4" eb="5">
      <t>ねん</t>
    </rPh>
    <rPh sb="6" eb="8">
      <t>れいわ</t>
    </rPh>
    <rPh sb="8" eb="10">
      <t>がんねん</t>
    </rPh>
    <phoneticPr fontId="1" type="Hiragana"/>
  </si>
  <si>
    <t>医療保険分</t>
    <rPh sb="0" eb="2">
      <t>いりょう</t>
    </rPh>
    <rPh sb="2" eb="4">
      <t>ほけん</t>
    </rPh>
    <rPh sb="4" eb="5">
      <t>ぶん</t>
    </rPh>
    <phoneticPr fontId="1" type="Hiragana"/>
  </si>
  <si>
    <t>1948年</t>
    <rPh sb="4" eb="5">
      <t>ねん</t>
    </rPh>
    <phoneticPr fontId="1" type="Hiragana"/>
  </si>
  <si>
    <t>後期高齢者支援金分</t>
    <rPh sb="0" eb="2">
      <t>こうき</t>
    </rPh>
    <rPh sb="2" eb="5">
      <t>こうれいしゃ</t>
    </rPh>
    <rPh sb="5" eb="7">
      <t>しえん</t>
    </rPh>
    <rPh sb="7" eb="9">
      <t>きんぶん</t>
    </rPh>
    <phoneticPr fontId="1" type="Hiragana"/>
  </si>
  <si>
    <t>昭和60年</t>
    <rPh sb="0" eb="2">
      <t>しょうわ</t>
    </rPh>
    <rPh sb="4" eb="5">
      <t>ねん</t>
    </rPh>
    <phoneticPr fontId="1" type="Hiragana"/>
  </si>
  <si>
    <t>所得割額</t>
    <rPh sb="0" eb="3">
      <t>しょとくわり</t>
    </rPh>
    <rPh sb="3" eb="4">
      <t>がく</t>
    </rPh>
    <phoneticPr fontId="1" type="Hiragana"/>
  </si>
  <si>
    <t>平等割額</t>
    <rPh sb="0" eb="3">
      <t>びょうどうわり</t>
    </rPh>
    <rPh sb="3" eb="4">
      <t>がく</t>
    </rPh>
    <phoneticPr fontId="1" type="Hiragana"/>
  </si>
  <si>
    <t>年　　間</t>
    <rPh sb="0" eb="1">
      <t>とし</t>
    </rPh>
    <rPh sb="3" eb="4">
      <t>あいだ</t>
    </rPh>
    <phoneticPr fontId="1" type="Hiragana"/>
  </si>
  <si>
    <t>1995年</t>
    <rPh sb="4" eb="5">
      <t>ねん</t>
    </rPh>
    <phoneticPr fontId="1" type="Hiragana"/>
  </si>
  <si>
    <t>（概算）</t>
    <rPh sb="1" eb="3">
      <t>がいさん</t>
    </rPh>
    <phoneticPr fontId="1" type="Hiragana"/>
  </si>
  <si>
    <t>1965年</t>
    <rPh sb="4" eb="5">
      <t>ねん</t>
    </rPh>
    <phoneticPr fontId="1" type="Hiragana"/>
  </si>
  <si>
    <t>2017年</t>
    <rPh sb="4" eb="5">
      <t>ねん</t>
    </rPh>
    <phoneticPr fontId="1" type="Hiragana"/>
  </si>
  <si>
    <t>軽減割合</t>
    <rPh sb="0" eb="2">
      <t>けいげん</t>
    </rPh>
    <rPh sb="2" eb="4">
      <t>わりあい</t>
    </rPh>
    <phoneticPr fontId="1" type="Hiragana"/>
  </si>
  <si>
    <t>令和7年4月</t>
    <rPh sb="0" eb="2">
      <t>れいわ</t>
    </rPh>
    <rPh sb="3" eb="4">
      <t>ねん</t>
    </rPh>
    <rPh sb="5" eb="6">
      <t>がつ</t>
    </rPh>
    <phoneticPr fontId="1" type="Hiragana"/>
  </si>
  <si>
    <t>×</t>
  </si>
  <si>
    <t>円</t>
    <rPh sb="0" eb="1">
      <t>えん</t>
    </rPh>
    <phoneticPr fontId="1" type="Hiragana"/>
  </si>
  <si>
    <r>
      <t xml:space="preserve">年
</t>
    </r>
    <r>
      <rPr>
        <sz val="10"/>
        <color theme="1"/>
        <rFont val="ＭＳ Ｐゴシック"/>
      </rPr>
      <t>（西暦）</t>
    </r>
    <rPh sb="0" eb="1">
      <t>ねん</t>
    </rPh>
    <rPh sb="3" eb="5">
      <t>せいれき</t>
    </rPh>
    <phoneticPr fontId="1" type="Hiragana"/>
  </si>
  <si>
    <t/>
  </si>
  <si>
    <t>5月</t>
    <rPh sb="1" eb="2">
      <t>がつ</t>
    </rPh>
    <phoneticPr fontId="1" type="Hiragana"/>
  </si>
  <si>
    <t>西暦・元号早見表</t>
    <rPh sb="0" eb="2">
      <t>せいれき</t>
    </rPh>
    <rPh sb="3" eb="5">
      <t>げんごう</t>
    </rPh>
    <rPh sb="5" eb="8">
      <t>はやみひょう</t>
    </rPh>
    <phoneticPr fontId="1" type="Hiragana"/>
  </si>
  <si>
    <t>大正14年</t>
    <rPh sb="0" eb="2">
      <t>たいしょう</t>
    </rPh>
    <rPh sb="4" eb="5">
      <t>ねん</t>
    </rPh>
    <phoneticPr fontId="1" type="Hiragana"/>
  </si>
  <si>
    <t>昭和8年</t>
    <rPh sb="0" eb="2">
      <t>しょうわ</t>
    </rPh>
    <rPh sb="3" eb="4">
      <t>ねん</t>
    </rPh>
    <phoneticPr fontId="1" type="Hiragana"/>
  </si>
  <si>
    <t>西暦</t>
    <rPh sb="0" eb="2">
      <t>せいれき</t>
    </rPh>
    <phoneticPr fontId="1" type="Hiragana"/>
  </si>
  <si>
    <t>元号</t>
    <rPh sb="0" eb="2">
      <t>げんごう</t>
    </rPh>
    <phoneticPr fontId="1" type="Hiragana"/>
  </si>
  <si>
    <t>1922年</t>
    <rPh sb="4" eb="5">
      <t>ねん</t>
    </rPh>
    <phoneticPr fontId="1" type="Hiragana"/>
  </si>
  <si>
    <t>2　加入している世帯員の方の生年月日を入力してください。（所得がない扶養家族の方も、年齢を入力してください。）</t>
    <rPh sb="2" eb="4">
      <t>かにゅう</t>
    </rPh>
    <rPh sb="8" eb="11">
      <t>せたいいん</t>
    </rPh>
    <rPh sb="12" eb="13">
      <t>かた</t>
    </rPh>
    <rPh sb="14" eb="16">
      <t>せいねん</t>
    </rPh>
    <rPh sb="16" eb="18">
      <t>がっぴ</t>
    </rPh>
    <rPh sb="19" eb="21">
      <t>にゅうりょく</t>
    </rPh>
    <rPh sb="29" eb="31">
      <t>しょとく</t>
    </rPh>
    <rPh sb="34" eb="36">
      <t>ふよう</t>
    </rPh>
    <rPh sb="36" eb="38">
      <t>かぞく</t>
    </rPh>
    <rPh sb="39" eb="40">
      <t>かた</t>
    </rPh>
    <rPh sb="42" eb="44">
      <t>ねんれい</t>
    </rPh>
    <rPh sb="45" eb="47">
      <t>にゅうりょく</t>
    </rPh>
    <phoneticPr fontId="1" type="Hiragana"/>
  </si>
  <si>
    <t>1923年</t>
    <rPh sb="4" eb="5">
      <t>ねん</t>
    </rPh>
    <phoneticPr fontId="1" type="Hiragana"/>
  </si>
  <si>
    <t>1924年</t>
    <rPh sb="4" eb="5">
      <t>ねん</t>
    </rPh>
    <phoneticPr fontId="1" type="Hiragana"/>
  </si>
  <si>
    <t>1925年</t>
    <rPh sb="4" eb="5">
      <t>ねん</t>
    </rPh>
    <phoneticPr fontId="1" type="Hiragana"/>
  </si>
  <si>
    <t>1973年</t>
    <rPh sb="4" eb="5">
      <t>ねん</t>
    </rPh>
    <phoneticPr fontId="1" type="Hiragana"/>
  </si>
  <si>
    <t>平成19年</t>
    <rPh sb="0" eb="2">
      <t>へいせい</t>
    </rPh>
    <rPh sb="4" eb="5">
      <t>ねん</t>
    </rPh>
    <phoneticPr fontId="1" type="Hiragana"/>
  </si>
  <si>
    <t>1926年</t>
    <rPh sb="4" eb="5">
      <t>ねん</t>
    </rPh>
    <phoneticPr fontId="1" type="Hiragana"/>
  </si>
  <si>
    <t>1927年</t>
    <rPh sb="4" eb="5">
      <t>ねん</t>
    </rPh>
    <phoneticPr fontId="1" type="Hiragana"/>
  </si>
  <si>
    <t>1930年</t>
    <rPh sb="4" eb="5">
      <t>ねん</t>
    </rPh>
    <phoneticPr fontId="1" type="Hiragana"/>
  </si>
  <si>
    <t>1954年</t>
    <rPh sb="4" eb="5">
      <t>ねん</t>
    </rPh>
    <phoneticPr fontId="1" type="Hiragana"/>
  </si>
  <si>
    <t>1931年</t>
    <rPh sb="4" eb="5">
      <t>ねん</t>
    </rPh>
    <phoneticPr fontId="1" type="Hiragana"/>
  </si>
  <si>
    <t>1964年</t>
    <rPh sb="4" eb="5">
      <t>ねん</t>
    </rPh>
    <phoneticPr fontId="1" type="Hiragana"/>
  </si>
  <si>
    <t>後期の資格の有無</t>
    <rPh sb="0" eb="2">
      <t>こうき</t>
    </rPh>
    <rPh sb="3" eb="5">
      <t>しかく</t>
    </rPh>
    <rPh sb="6" eb="8">
      <t>うむ</t>
    </rPh>
    <phoneticPr fontId="1" type="Hiragana"/>
  </si>
  <si>
    <t>1933年</t>
    <rPh sb="4" eb="5">
      <t>ねん</t>
    </rPh>
    <phoneticPr fontId="1" type="Hiragana"/>
  </si>
  <si>
    <t>昭和14年</t>
    <rPh sb="0" eb="2">
      <t>しょうわ</t>
    </rPh>
    <rPh sb="4" eb="5">
      <t>ねん</t>
    </rPh>
    <phoneticPr fontId="1" type="Hiragana"/>
  </si>
  <si>
    <t>1934年</t>
    <rPh sb="4" eb="5">
      <t>ねん</t>
    </rPh>
    <phoneticPr fontId="1" type="Hiragana"/>
  </si>
  <si>
    <t>第1期</t>
    <rPh sb="0" eb="1">
      <t>だい</t>
    </rPh>
    <rPh sb="2" eb="3">
      <t>き</t>
    </rPh>
    <phoneticPr fontId="1" type="Hiragana"/>
  </si>
  <si>
    <t>1935年</t>
    <rPh sb="4" eb="5">
      <t>ねん</t>
    </rPh>
    <phoneticPr fontId="1" type="Hiragana"/>
  </si>
  <si>
    <t>昭和56年</t>
    <rPh sb="0" eb="2">
      <t>しょうわ</t>
    </rPh>
    <rPh sb="4" eb="5">
      <t>ねん</t>
    </rPh>
    <phoneticPr fontId="1" type="Hiragana"/>
  </si>
  <si>
    <t>1936年</t>
    <rPh sb="4" eb="5">
      <t>ねん</t>
    </rPh>
    <phoneticPr fontId="1" type="Hiragana"/>
  </si>
  <si>
    <t>2001年</t>
    <rPh sb="4" eb="5">
      <t>ねん</t>
    </rPh>
    <phoneticPr fontId="1" type="Hiragana"/>
  </si>
  <si>
    <t>1928年</t>
    <rPh sb="4" eb="5">
      <t>ねん</t>
    </rPh>
    <phoneticPr fontId="1" type="Hiragana"/>
  </si>
  <si>
    <t>1982年</t>
    <rPh sb="4" eb="5">
      <t>ねん</t>
    </rPh>
    <phoneticPr fontId="1" type="Hiragana"/>
  </si>
  <si>
    <t>1929年</t>
    <rPh sb="4" eb="5">
      <t>ねん</t>
    </rPh>
    <phoneticPr fontId="1" type="Hiragana"/>
  </si>
  <si>
    <t>1958年</t>
    <rPh sb="4" eb="5">
      <t>ねん</t>
    </rPh>
    <phoneticPr fontId="1" type="Hiragana"/>
  </si>
  <si>
    <t>大正12年</t>
    <rPh sb="0" eb="2">
      <t>たいしょう</t>
    </rPh>
    <rPh sb="4" eb="5">
      <t>ねん</t>
    </rPh>
    <phoneticPr fontId="1" type="Hiragana"/>
  </si>
  <si>
    <t>大正13年</t>
    <rPh sb="0" eb="2">
      <t>たいしょう</t>
    </rPh>
    <rPh sb="4" eb="5">
      <t>ねん</t>
    </rPh>
    <phoneticPr fontId="1" type="Hiragana"/>
  </si>
  <si>
    <t>大正15年
昭和元年</t>
    <rPh sb="0" eb="2">
      <t>たいしょう</t>
    </rPh>
    <rPh sb="4" eb="5">
      <t>ねん</t>
    </rPh>
    <rPh sb="6" eb="8">
      <t>しょうわ</t>
    </rPh>
    <rPh sb="8" eb="10">
      <t>がんねん</t>
    </rPh>
    <phoneticPr fontId="1" type="Hiragana"/>
  </si>
  <si>
    <t>1994年</t>
    <rPh sb="4" eb="5">
      <t>ねん</t>
    </rPh>
    <phoneticPr fontId="1" type="Hiragana"/>
  </si>
  <si>
    <t>昭和2年</t>
    <rPh sb="0" eb="2">
      <t>しょうわ</t>
    </rPh>
    <rPh sb="3" eb="4">
      <t>ねん</t>
    </rPh>
    <phoneticPr fontId="1" type="Hiragana"/>
  </si>
  <si>
    <t>昭和3年</t>
    <rPh sb="0" eb="2">
      <t>しょうわ</t>
    </rPh>
    <rPh sb="3" eb="4">
      <t>ねん</t>
    </rPh>
    <phoneticPr fontId="1" type="Hiragana"/>
  </si>
  <si>
    <t>平成10年</t>
    <rPh sb="0" eb="2">
      <t>へいせい</t>
    </rPh>
    <rPh sb="4" eb="5">
      <t>ねん</t>
    </rPh>
    <phoneticPr fontId="1" type="Hiragana"/>
  </si>
  <si>
    <t>昭和4年</t>
    <rPh sb="0" eb="2">
      <t>しょうわ</t>
    </rPh>
    <rPh sb="3" eb="4">
      <t>ねん</t>
    </rPh>
    <phoneticPr fontId="1" type="Hiragana"/>
  </si>
  <si>
    <t>昭和5年</t>
    <rPh sb="0" eb="2">
      <t>しょうわ</t>
    </rPh>
    <rPh sb="3" eb="4">
      <t>ねん</t>
    </rPh>
    <phoneticPr fontId="1" type="Hiragana"/>
  </si>
  <si>
    <t>昭和6年</t>
    <rPh sb="0" eb="2">
      <t>しょうわ</t>
    </rPh>
    <rPh sb="3" eb="4">
      <t>ねん</t>
    </rPh>
    <phoneticPr fontId="1" type="Hiragana"/>
  </si>
  <si>
    <t>1991年</t>
    <rPh sb="4" eb="5">
      <t>ねん</t>
    </rPh>
    <phoneticPr fontId="1" type="Hiragana"/>
  </si>
  <si>
    <t>2024/7/1　ver3.0</t>
  </si>
  <si>
    <t>昭和7年</t>
    <rPh sb="0" eb="2">
      <t>しょうわ</t>
    </rPh>
    <rPh sb="3" eb="4">
      <t>ねん</t>
    </rPh>
    <phoneticPr fontId="1" type="Hiragana"/>
  </si>
  <si>
    <t>昭和9年</t>
    <rPh sb="0" eb="2">
      <t>しょうわ</t>
    </rPh>
    <rPh sb="3" eb="4">
      <t>ねん</t>
    </rPh>
    <phoneticPr fontId="1" type="Hiragana"/>
  </si>
  <si>
    <t>昭和10年</t>
    <rPh sb="0" eb="2">
      <t>しょうわ</t>
    </rPh>
    <rPh sb="4" eb="5">
      <t>ねん</t>
    </rPh>
    <phoneticPr fontId="1" type="Hiragana"/>
  </si>
  <si>
    <t>1960年</t>
    <rPh sb="4" eb="5">
      <t>ねん</t>
    </rPh>
    <phoneticPr fontId="1" type="Hiragana"/>
  </si>
  <si>
    <t>1937年</t>
    <rPh sb="4" eb="5">
      <t>ねん</t>
    </rPh>
    <phoneticPr fontId="1" type="Hiragana"/>
  </si>
  <si>
    <t>1938年</t>
    <rPh sb="4" eb="5">
      <t>ねん</t>
    </rPh>
    <phoneticPr fontId="1" type="Hiragana"/>
  </si>
  <si>
    <t>1941年</t>
    <rPh sb="4" eb="5">
      <t>ねん</t>
    </rPh>
    <phoneticPr fontId="1" type="Hiragana"/>
  </si>
  <si>
    <t>昭和18年</t>
    <rPh sb="0" eb="2">
      <t>しょうわ</t>
    </rPh>
    <rPh sb="4" eb="5">
      <t>ねん</t>
    </rPh>
    <phoneticPr fontId="1" type="Hiragana"/>
  </si>
  <si>
    <t>1943年</t>
    <rPh sb="4" eb="5">
      <t>ねん</t>
    </rPh>
    <phoneticPr fontId="1" type="Hiragana"/>
  </si>
  <si>
    <t>1944年</t>
    <rPh sb="4" eb="5">
      <t>ねん</t>
    </rPh>
    <phoneticPr fontId="1" type="Hiragana"/>
  </si>
  <si>
    <t>1945年</t>
    <rPh sb="4" eb="5">
      <t>ねん</t>
    </rPh>
    <phoneticPr fontId="1" type="Hiragana"/>
  </si>
  <si>
    <t>1946年</t>
    <rPh sb="4" eb="5">
      <t>ねん</t>
    </rPh>
    <phoneticPr fontId="1" type="Hiragana"/>
  </si>
  <si>
    <t>1993年</t>
    <rPh sb="4" eb="5">
      <t>ねん</t>
    </rPh>
    <phoneticPr fontId="1" type="Hiragana"/>
  </si>
  <si>
    <t>1947年</t>
    <rPh sb="4" eb="5">
      <t>ねん</t>
    </rPh>
    <phoneticPr fontId="1" type="Hiragana"/>
  </si>
  <si>
    <t>2007年</t>
    <rPh sb="4" eb="5">
      <t>ねん</t>
    </rPh>
    <phoneticPr fontId="1" type="Hiragana"/>
  </si>
  <si>
    <t>昭和12年</t>
    <rPh sb="0" eb="2">
      <t>しょうわ</t>
    </rPh>
    <rPh sb="4" eb="5">
      <t>ねん</t>
    </rPh>
    <phoneticPr fontId="1" type="Hiragana"/>
  </si>
  <si>
    <t>平成12年</t>
    <rPh sb="0" eb="2">
      <t>へいせい</t>
    </rPh>
    <rPh sb="4" eb="5">
      <t>ねん</t>
    </rPh>
    <phoneticPr fontId="1" type="Hiragana"/>
  </si>
  <si>
    <t>・ 令和７年度国民健康保険税の年間概算額が計算できます。</t>
    <rPh sb="2" eb="4">
      <t>れいわ</t>
    </rPh>
    <rPh sb="5" eb="7">
      <t>ねんど</t>
    </rPh>
    <rPh sb="7" eb="9">
      <t>こくみん</t>
    </rPh>
    <rPh sb="9" eb="11">
      <t>けんこう</t>
    </rPh>
    <rPh sb="11" eb="14">
      <t>ほけんぜい</t>
    </rPh>
    <rPh sb="15" eb="17">
      <t>ねんかん</t>
    </rPh>
    <rPh sb="17" eb="19">
      <t>がいさん</t>
    </rPh>
    <rPh sb="19" eb="20">
      <t>がく</t>
    </rPh>
    <rPh sb="21" eb="23">
      <t>けいさん</t>
    </rPh>
    <phoneticPr fontId="1" type="Hiragana"/>
  </si>
  <si>
    <t>昭和13年</t>
    <rPh sb="0" eb="2">
      <t>しょうわ</t>
    </rPh>
    <rPh sb="4" eb="5">
      <t>ねん</t>
    </rPh>
    <phoneticPr fontId="1" type="Hiragana"/>
  </si>
  <si>
    <t>1972年</t>
    <rPh sb="4" eb="5">
      <t>ねん</t>
    </rPh>
    <phoneticPr fontId="1" type="Hiragana"/>
  </si>
  <si>
    <t>昭和15年</t>
    <rPh sb="0" eb="2">
      <t>しょうわ</t>
    </rPh>
    <rPh sb="4" eb="5">
      <t>ねん</t>
    </rPh>
    <phoneticPr fontId="1" type="Hiragana"/>
  </si>
  <si>
    <t>は税率等改正による更新</t>
    <rPh sb="1" eb="3">
      <t>ぜいりつ</t>
    </rPh>
    <rPh sb="3" eb="4">
      <t>とう</t>
    </rPh>
    <rPh sb="4" eb="6">
      <t>かいせい</t>
    </rPh>
    <rPh sb="9" eb="11">
      <t>こうしん</t>
    </rPh>
    <phoneticPr fontId="1" type="Hiragana"/>
  </si>
  <si>
    <t>昭和16年</t>
    <rPh sb="0" eb="2">
      <t>しょうわ</t>
    </rPh>
    <rPh sb="4" eb="5">
      <t>ねん</t>
    </rPh>
    <phoneticPr fontId="1" type="Hiragana"/>
  </si>
  <si>
    <t>昭和17年</t>
    <rPh sb="0" eb="2">
      <t>しょうわ</t>
    </rPh>
    <rPh sb="4" eb="5">
      <t>ねん</t>
    </rPh>
    <phoneticPr fontId="1" type="Hiragana"/>
  </si>
  <si>
    <t>昭和19年</t>
    <rPh sb="0" eb="2">
      <t>しょうわ</t>
    </rPh>
    <rPh sb="4" eb="5">
      <t>ねん</t>
    </rPh>
    <phoneticPr fontId="1" type="Hiragana"/>
  </si>
  <si>
    <t>昭和20年</t>
    <rPh sb="0" eb="2">
      <t>しょうわ</t>
    </rPh>
    <rPh sb="4" eb="5">
      <t>ねん</t>
    </rPh>
    <phoneticPr fontId="1" type="Hiragana"/>
  </si>
  <si>
    <t>昭和21年</t>
    <rPh sb="0" eb="2">
      <t>しょうわ</t>
    </rPh>
    <rPh sb="4" eb="5">
      <t>ねん</t>
    </rPh>
    <phoneticPr fontId="1" type="Hiragana"/>
  </si>
  <si>
    <t>昭和22年</t>
    <rPh sb="0" eb="2">
      <t>しょうわ</t>
    </rPh>
    <rPh sb="4" eb="5">
      <t>ねん</t>
    </rPh>
    <phoneticPr fontId="1" type="Hiragana"/>
  </si>
  <si>
    <t>平成2年</t>
    <rPh sb="0" eb="2">
      <t>へいせい</t>
    </rPh>
    <rPh sb="3" eb="4">
      <t>ねん</t>
    </rPh>
    <phoneticPr fontId="1" type="Hiragana"/>
  </si>
  <si>
    <t>平成18年</t>
    <rPh sb="0" eb="2">
      <t>へいせい</t>
    </rPh>
    <rPh sb="4" eb="5">
      <t>ねん</t>
    </rPh>
    <phoneticPr fontId="1" type="Hiragana"/>
  </si>
  <si>
    <t>昭和24年</t>
    <rPh sb="0" eb="2">
      <t>しょうわ</t>
    </rPh>
    <rPh sb="4" eb="5">
      <t>ねん</t>
    </rPh>
    <phoneticPr fontId="1" type="Hiragana"/>
  </si>
  <si>
    <t>1950年</t>
    <rPh sb="4" eb="5">
      <t>ねん</t>
    </rPh>
    <phoneticPr fontId="1" type="Hiragana"/>
  </si>
  <si>
    <t>令和2年</t>
    <rPh sb="0" eb="2">
      <t>れいわ</t>
    </rPh>
    <rPh sb="3" eb="4">
      <t>ねん</t>
    </rPh>
    <phoneticPr fontId="1" type="Hiragana"/>
  </si>
  <si>
    <t>昭和25年</t>
    <rPh sb="0" eb="2">
      <t>しょうわ</t>
    </rPh>
    <rPh sb="4" eb="5">
      <t>ねん</t>
    </rPh>
    <phoneticPr fontId="1" type="Hiragana"/>
  </si>
  <si>
    <t>1988年</t>
    <rPh sb="4" eb="5">
      <t>ねん</t>
    </rPh>
    <phoneticPr fontId="1" type="Hiragana"/>
  </si>
  <si>
    <t>1952年</t>
    <rPh sb="4" eb="5">
      <t>ねん</t>
    </rPh>
    <phoneticPr fontId="1" type="Hiragana"/>
  </si>
  <si>
    <t>1953年</t>
    <rPh sb="4" eb="5">
      <t>ねん</t>
    </rPh>
    <phoneticPr fontId="1" type="Hiragana"/>
  </si>
  <si>
    <t>平成3年</t>
    <rPh sb="0" eb="2">
      <t>へいせい</t>
    </rPh>
    <rPh sb="3" eb="4">
      <t>ねん</t>
    </rPh>
    <phoneticPr fontId="1" type="Hiragana"/>
  </si>
  <si>
    <t>2019年</t>
    <rPh sb="4" eb="5">
      <t>ねん</t>
    </rPh>
    <phoneticPr fontId="1" type="Hiragana"/>
  </si>
  <si>
    <t>1956年</t>
    <rPh sb="4" eb="5">
      <t>ねん</t>
    </rPh>
    <phoneticPr fontId="1" type="Hiragana"/>
  </si>
  <si>
    <t>1959年</t>
    <rPh sb="4" eb="5">
      <t>ねん</t>
    </rPh>
    <phoneticPr fontId="1" type="Hiragana"/>
  </si>
  <si>
    <t>1961年</t>
    <rPh sb="4" eb="5">
      <t>ねん</t>
    </rPh>
    <phoneticPr fontId="1" type="Hiragana"/>
  </si>
  <si>
    <t>1962年</t>
    <rPh sb="4" eb="5">
      <t>ねん</t>
    </rPh>
    <phoneticPr fontId="1" type="Hiragana"/>
  </si>
  <si>
    <t>第3期</t>
    <rPh sb="0" eb="1">
      <t>だい</t>
    </rPh>
    <rPh sb="2" eb="3">
      <t>き</t>
    </rPh>
    <phoneticPr fontId="1" type="Hiragana"/>
  </si>
  <si>
    <t>1963年</t>
    <rPh sb="4" eb="5">
      <t>ねん</t>
    </rPh>
    <phoneticPr fontId="1" type="Hiragana"/>
  </si>
  <si>
    <t>昭和41年</t>
    <rPh sb="0" eb="2">
      <t>しょうわ</t>
    </rPh>
    <rPh sb="4" eb="5">
      <t>ねん</t>
    </rPh>
    <phoneticPr fontId="1" type="Hiragana"/>
  </si>
  <si>
    <t>昭和26年</t>
    <rPh sb="0" eb="2">
      <t>しょうわ</t>
    </rPh>
    <rPh sb="4" eb="5">
      <t>ねん</t>
    </rPh>
    <phoneticPr fontId="1" type="Hiragana"/>
  </si>
  <si>
    <t>昭和27年</t>
    <rPh sb="0" eb="2">
      <t>しょうわ</t>
    </rPh>
    <rPh sb="4" eb="5">
      <t>ねん</t>
    </rPh>
    <phoneticPr fontId="1" type="Hiragana"/>
  </si>
  <si>
    <t>昭和28年</t>
    <rPh sb="0" eb="2">
      <t>しょうわ</t>
    </rPh>
    <rPh sb="4" eb="5">
      <t>ねん</t>
    </rPh>
    <phoneticPr fontId="1" type="Hiragana"/>
  </si>
  <si>
    <t>昭和30年</t>
    <rPh sb="0" eb="2">
      <t>しょうわ</t>
    </rPh>
    <rPh sb="4" eb="5">
      <t>ねん</t>
    </rPh>
    <phoneticPr fontId="1" type="Hiragana"/>
  </si>
  <si>
    <t>昭和31年</t>
    <rPh sb="0" eb="2">
      <t>しょうわ</t>
    </rPh>
    <rPh sb="4" eb="5">
      <t>ねん</t>
    </rPh>
    <phoneticPr fontId="1" type="Hiragana"/>
  </si>
  <si>
    <t>所得割（医療分）</t>
    <rPh sb="0" eb="3">
      <t>しょとくわり</t>
    </rPh>
    <rPh sb="4" eb="6">
      <t>いりょう</t>
    </rPh>
    <rPh sb="6" eb="7">
      <t>ぶん</t>
    </rPh>
    <phoneticPr fontId="1" type="Hiragana"/>
  </si>
  <si>
    <t>昭和32年</t>
    <rPh sb="0" eb="2">
      <t>しょうわ</t>
    </rPh>
    <rPh sb="4" eb="5">
      <t>ねん</t>
    </rPh>
    <phoneticPr fontId="1" type="Hiragana"/>
  </si>
  <si>
    <t>令和7年10月</t>
    <rPh sb="0" eb="2">
      <t>れいわ</t>
    </rPh>
    <rPh sb="3" eb="4">
      <t>ねん</t>
    </rPh>
    <rPh sb="6" eb="7">
      <t>がつ</t>
    </rPh>
    <phoneticPr fontId="1" type="Hiragana"/>
  </si>
  <si>
    <t>昭和33年</t>
    <rPh sb="0" eb="2">
      <t>しょうわ</t>
    </rPh>
    <rPh sb="4" eb="5">
      <t>ねん</t>
    </rPh>
    <phoneticPr fontId="1" type="Hiragana"/>
  </si>
  <si>
    <t>平成4年</t>
    <rPh sb="0" eb="2">
      <t>へいせい</t>
    </rPh>
    <rPh sb="3" eb="4">
      <t>ねん</t>
    </rPh>
    <phoneticPr fontId="1" type="Hiragana"/>
  </si>
  <si>
    <t>昭和34年</t>
    <rPh sb="0" eb="2">
      <t>しょうわ</t>
    </rPh>
    <rPh sb="4" eb="5">
      <t>ねん</t>
    </rPh>
    <phoneticPr fontId="1" type="Hiragana"/>
  </si>
  <si>
    <t>昭和35年</t>
    <rPh sb="0" eb="2">
      <t>しょうわ</t>
    </rPh>
    <rPh sb="4" eb="5">
      <t>ねん</t>
    </rPh>
    <phoneticPr fontId="1" type="Hiragana"/>
  </si>
  <si>
    <t>8月</t>
    <rPh sb="1" eb="2">
      <t>がつ</t>
    </rPh>
    <phoneticPr fontId="1" type="Hiragana"/>
  </si>
  <si>
    <t>昭和37年</t>
    <rPh sb="0" eb="2">
      <t>しょうわ</t>
    </rPh>
    <rPh sb="4" eb="5">
      <t>ねん</t>
    </rPh>
    <phoneticPr fontId="1" type="Hiragana"/>
  </si>
  <si>
    <t>1966年</t>
    <rPh sb="4" eb="5">
      <t>ねん</t>
    </rPh>
    <phoneticPr fontId="1" type="Hiragana"/>
  </si>
  <si>
    <t>平成28年</t>
    <rPh sb="0" eb="2">
      <t>へいせい</t>
    </rPh>
    <rPh sb="4" eb="5">
      <t>ねん</t>
    </rPh>
    <phoneticPr fontId="1" type="Hiragana"/>
  </si>
  <si>
    <t>1967年</t>
    <rPh sb="4" eb="5">
      <t>ねん</t>
    </rPh>
    <phoneticPr fontId="1" type="Hiragana"/>
  </si>
  <si>
    <t>1968年</t>
    <rPh sb="4" eb="5">
      <t>ねん</t>
    </rPh>
    <phoneticPr fontId="1" type="Hiragana"/>
  </si>
  <si>
    <t>1969年</t>
    <rPh sb="4" eb="5">
      <t>ねん</t>
    </rPh>
    <phoneticPr fontId="1" type="Hiragana"/>
  </si>
  <si>
    <t>平成16年</t>
    <rPh sb="0" eb="2">
      <t>へいせい</t>
    </rPh>
    <rPh sb="4" eb="5">
      <t>ねん</t>
    </rPh>
    <phoneticPr fontId="1" type="Hiragana"/>
  </si>
  <si>
    <t>1970年</t>
    <rPh sb="4" eb="5">
      <t>ねん</t>
    </rPh>
    <phoneticPr fontId="1" type="Hiragana"/>
  </si>
  <si>
    <t>1971年</t>
    <rPh sb="4" eb="5">
      <t>ねん</t>
    </rPh>
    <phoneticPr fontId="1" type="Hiragana"/>
  </si>
  <si>
    <t>後期分</t>
    <rPh sb="0" eb="2">
      <t>こうき</t>
    </rPh>
    <rPh sb="2" eb="3">
      <t>ぶん</t>
    </rPh>
    <phoneticPr fontId="1" type="Hiragana"/>
  </si>
  <si>
    <t>1974年</t>
    <rPh sb="4" eb="5">
      <t>ねん</t>
    </rPh>
    <phoneticPr fontId="1" type="Hiragana"/>
  </si>
  <si>
    <t>1975年</t>
    <rPh sb="4" eb="5">
      <t>ねん</t>
    </rPh>
    <phoneticPr fontId="1" type="Hiragana"/>
  </si>
  <si>
    <t>1976年</t>
    <rPh sb="4" eb="5">
      <t>ねん</t>
    </rPh>
    <phoneticPr fontId="1" type="Hiragana"/>
  </si>
  <si>
    <t>1977年</t>
    <rPh sb="4" eb="5">
      <t>ねん</t>
    </rPh>
    <phoneticPr fontId="1" type="Hiragana"/>
  </si>
  <si>
    <t>昭和40年</t>
    <rPh sb="0" eb="2">
      <t>しょうわ</t>
    </rPh>
    <rPh sb="4" eb="5">
      <t>ねん</t>
    </rPh>
    <phoneticPr fontId="1" type="Hiragana"/>
  </si>
  <si>
    <t>昭和42年</t>
    <rPh sb="0" eb="2">
      <t>しょうわ</t>
    </rPh>
    <rPh sb="4" eb="5">
      <t>ねん</t>
    </rPh>
    <phoneticPr fontId="1" type="Hiragana"/>
  </si>
  <si>
    <t>介護の資格の有無</t>
    <rPh sb="0" eb="2">
      <t>かいご</t>
    </rPh>
    <rPh sb="3" eb="5">
      <t>しかく</t>
    </rPh>
    <rPh sb="6" eb="8">
      <t>うむ</t>
    </rPh>
    <phoneticPr fontId="1" type="Hiragana"/>
  </si>
  <si>
    <t>令和6年</t>
    <rPh sb="0" eb="2">
      <t>れいわ</t>
    </rPh>
    <rPh sb="3" eb="4">
      <t>ねん</t>
    </rPh>
    <phoneticPr fontId="1" type="Hiragana"/>
  </si>
  <si>
    <t>昭和43年</t>
    <rPh sb="0" eb="2">
      <t>しょうわ</t>
    </rPh>
    <rPh sb="4" eb="5">
      <t>ねん</t>
    </rPh>
    <phoneticPr fontId="1" type="Hiragana"/>
  </si>
  <si>
    <t>昭和44年</t>
    <rPh sb="0" eb="2">
      <t>しょうわ</t>
    </rPh>
    <rPh sb="4" eb="5">
      <t>ねん</t>
    </rPh>
    <phoneticPr fontId="1" type="Hiragana"/>
  </si>
  <si>
    <t>昭和45年</t>
    <rPh sb="0" eb="2">
      <t>しょうわ</t>
    </rPh>
    <rPh sb="4" eb="5">
      <t>ねん</t>
    </rPh>
    <phoneticPr fontId="1" type="Hiragana"/>
  </si>
  <si>
    <t>昭和46年</t>
    <rPh sb="0" eb="2">
      <t>しょうわ</t>
    </rPh>
    <rPh sb="4" eb="5">
      <t>ねん</t>
    </rPh>
    <phoneticPr fontId="1" type="Hiragana"/>
  </si>
  <si>
    <t>昭和47年</t>
    <rPh sb="0" eb="2">
      <t>しょうわ</t>
    </rPh>
    <rPh sb="4" eb="5">
      <t>ねん</t>
    </rPh>
    <phoneticPr fontId="1" type="Hiragana"/>
  </si>
  <si>
    <t>昭和48年</t>
    <rPh sb="0" eb="2">
      <t>しょうわ</t>
    </rPh>
    <rPh sb="4" eb="5">
      <t>ねん</t>
    </rPh>
    <phoneticPr fontId="1" type="Hiragana"/>
  </si>
  <si>
    <t>昭和49年</t>
    <rPh sb="0" eb="2">
      <t>しょうわ</t>
    </rPh>
    <rPh sb="4" eb="5">
      <t>ねん</t>
    </rPh>
    <phoneticPr fontId="1" type="Hiragana"/>
  </si>
  <si>
    <t>昭和50年</t>
    <rPh sb="0" eb="2">
      <t>しょうわ</t>
    </rPh>
    <rPh sb="4" eb="5">
      <t>ねん</t>
    </rPh>
    <phoneticPr fontId="1" type="Hiragana"/>
  </si>
  <si>
    <t>1990年</t>
    <rPh sb="4" eb="5">
      <t>ねん</t>
    </rPh>
    <phoneticPr fontId="1" type="Hiragana"/>
  </si>
  <si>
    <t>5　事業等その他の所得金額（確定申告書Aは⑧、確定申告書Bは⑫の欄等の金額）を入力してください。</t>
    <rPh sb="2" eb="4">
      <t>じぎょう</t>
    </rPh>
    <rPh sb="4" eb="5">
      <t>とう</t>
    </rPh>
    <rPh sb="7" eb="8">
      <t>た</t>
    </rPh>
    <rPh sb="9" eb="11">
      <t>しょとく</t>
    </rPh>
    <rPh sb="11" eb="13">
      <t>きんがく</t>
    </rPh>
    <rPh sb="14" eb="16">
      <t>かくてい</t>
    </rPh>
    <rPh sb="16" eb="18">
      <t>しんこく</t>
    </rPh>
    <rPh sb="18" eb="19">
      <t>しょ</t>
    </rPh>
    <rPh sb="23" eb="25">
      <t>かくてい</t>
    </rPh>
    <rPh sb="25" eb="27">
      <t>しんこく</t>
    </rPh>
    <rPh sb="27" eb="28">
      <t>しょ</t>
    </rPh>
    <rPh sb="32" eb="33">
      <t>らん</t>
    </rPh>
    <rPh sb="33" eb="34">
      <t>とう</t>
    </rPh>
    <rPh sb="35" eb="37">
      <t>きんがく</t>
    </rPh>
    <rPh sb="39" eb="41">
      <t>にゅうりょく</t>
    </rPh>
    <phoneticPr fontId="1" type="Hiragana"/>
  </si>
  <si>
    <t>昭和51年</t>
    <rPh sb="0" eb="2">
      <t>しょうわ</t>
    </rPh>
    <rPh sb="4" eb="5">
      <t>ねん</t>
    </rPh>
    <phoneticPr fontId="1" type="Hiragana"/>
  </si>
  <si>
    <t>所得割（介護分）</t>
    <rPh sb="0" eb="3">
      <t>しょとくわり</t>
    </rPh>
    <rPh sb="4" eb="6">
      <t>かいご</t>
    </rPh>
    <rPh sb="6" eb="7">
      <t>ぶん</t>
    </rPh>
    <phoneticPr fontId="1" type="Hiragana"/>
  </si>
  <si>
    <t>昭和52年</t>
    <rPh sb="0" eb="2">
      <t>しょうわ</t>
    </rPh>
    <rPh sb="4" eb="5">
      <t>ねん</t>
    </rPh>
    <phoneticPr fontId="1" type="Hiragana"/>
  </si>
  <si>
    <t>1981年</t>
    <rPh sb="4" eb="5">
      <t>ねん</t>
    </rPh>
    <phoneticPr fontId="1" type="Hiragana"/>
  </si>
  <si>
    <t>平成9年</t>
    <rPh sb="0" eb="2">
      <t>へいせい</t>
    </rPh>
    <rPh sb="3" eb="4">
      <t>ねん</t>
    </rPh>
    <phoneticPr fontId="1" type="Hiragana"/>
  </si>
  <si>
    <t>1978年</t>
    <rPh sb="4" eb="5">
      <t>ねん</t>
    </rPh>
    <phoneticPr fontId="1" type="Hiragana"/>
  </si>
  <si>
    <t>1979年</t>
    <rPh sb="4" eb="5">
      <t>ねん</t>
    </rPh>
    <phoneticPr fontId="1" type="Hiragana"/>
  </si>
  <si>
    <t>1980年</t>
    <rPh sb="4" eb="5">
      <t>ねん</t>
    </rPh>
    <phoneticPr fontId="1" type="Hiragana"/>
  </si>
  <si>
    <t>2021年</t>
    <rPh sb="4" eb="5">
      <t>ねん</t>
    </rPh>
    <phoneticPr fontId="1" type="Hiragana"/>
  </si>
  <si>
    <t>1983年</t>
    <rPh sb="4" eb="5">
      <t>ねん</t>
    </rPh>
    <phoneticPr fontId="1" type="Hiragana"/>
  </si>
  <si>
    <t>平成21年</t>
    <rPh sb="0" eb="2">
      <t>へいせい</t>
    </rPh>
    <rPh sb="4" eb="5">
      <t>ねん</t>
    </rPh>
    <phoneticPr fontId="1" type="Hiragana"/>
  </si>
  <si>
    <t>1984年</t>
    <rPh sb="4" eb="5">
      <t>ねん</t>
    </rPh>
    <phoneticPr fontId="1" type="Hiragana"/>
  </si>
  <si>
    <t>1985年</t>
    <rPh sb="4" eb="5">
      <t>ねん</t>
    </rPh>
    <phoneticPr fontId="1" type="Hiragana"/>
  </si>
  <si>
    <t>1986年</t>
    <rPh sb="4" eb="5">
      <t>ねん</t>
    </rPh>
    <phoneticPr fontId="1" type="Hiragana"/>
  </si>
  <si>
    <t>1987年</t>
    <rPh sb="4" eb="5">
      <t>ねん</t>
    </rPh>
    <phoneticPr fontId="1" type="Hiragana"/>
  </si>
  <si>
    <t>令和8年1月</t>
    <rPh sb="0" eb="2">
      <t>れいわ</t>
    </rPh>
    <rPh sb="3" eb="4">
      <t>ねん</t>
    </rPh>
    <rPh sb="5" eb="6">
      <t>がつ</t>
    </rPh>
    <phoneticPr fontId="1" type="Hiragana"/>
  </si>
  <si>
    <t>1989年</t>
    <rPh sb="4" eb="5">
      <t>ねん</t>
    </rPh>
    <phoneticPr fontId="1" type="Hiragana"/>
  </si>
  <si>
    <t>平成11年</t>
    <rPh sb="0" eb="2">
      <t>へいせい</t>
    </rPh>
    <rPh sb="4" eb="5">
      <t>ねん</t>
    </rPh>
    <phoneticPr fontId="1" type="Hiragana"/>
  </si>
  <si>
    <t>昭和54年</t>
    <rPh sb="0" eb="2">
      <t>しょうわ</t>
    </rPh>
    <rPh sb="4" eb="5">
      <t>ねん</t>
    </rPh>
    <phoneticPr fontId="1" type="Hiragana"/>
  </si>
  <si>
    <t>2013年</t>
    <rPh sb="4" eb="5">
      <t>ねん</t>
    </rPh>
    <phoneticPr fontId="1" type="Hiragana"/>
  </si>
  <si>
    <t>昭和55年</t>
    <rPh sb="0" eb="2">
      <t>しょうわ</t>
    </rPh>
    <rPh sb="4" eb="5">
      <t>ねん</t>
    </rPh>
    <phoneticPr fontId="1" type="Hiragana"/>
  </si>
  <si>
    <t>昭和57年</t>
    <rPh sb="0" eb="2">
      <t>しょうわ</t>
    </rPh>
    <rPh sb="4" eb="5">
      <t>ねん</t>
    </rPh>
    <phoneticPr fontId="1" type="Hiragana"/>
  </si>
  <si>
    <t>昭和58年</t>
    <rPh sb="0" eb="2">
      <t>しょうわ</t>
    </rPh>
    <rPh sb="4" eb="5">
      <t>ねん</t>
    </rPh>
    <phoneticPr fontId="1" type="Hiragana"/>
  </si>
  <si>
    <t>昭和59年</t>
    <rPh sb="0" eb="2">
      <t>しょうわ</t>
    </rPh>
    <rPh sb="4" eb="5">
      <t>ねん</t>
    </rPh>
    <phoneticPr fontId="1" type="Hiragana"/>
  </si>
  <si>
    <t>昭和61年</t>
    <rPh sb="0" eb="2">
      <t>しょうわ</t>
    </rPh>
    <rPh sb="4" eb="5">
      <t>ねん</t>
    </rPh>
    <phoneticPr fontId="1" type="Hiragana"/>
  </si>
  <si>
    <t>昭和63年</t>
    <rPh sb="0" eb="2">
      <t>しょうわ</t>
    </rPh>
    <rPh sb="4" eb="5">
      <t>ねん</t>
    </rPh>
    <phoneticPr fontId="1" type="Hiragana"/>
  </si>
  <si>
    <t>平成13年</t>
    <rPh sb="0" eb="2">
      <t>へいせい</t>
    </rPh>
    <rPh sb="4" eb="5">
      <t>ねん</t>
    </rPh>
    <phoneticPr fontId="1" type="Hiragana"/>
  </si>
  <si>
    <t>2011年</t>
    <rPh sb="4" eb="5">
      <t>ねん</t>
    </rPh>
    <phoneticPr fontId="1" type="Hiragana"/>
  </si>
  <si>
    <t>昭和64年
平成元年</t>
    <rPh sb="0" eb="2">
      <t>しょうわ</t>
    </rPh>
    <rPh sb="4" eb="5">
      <t>ねん</t>
    </rPh>
    <phoneticPr fontId="1" type="Hiragana"/>
  </si>
  <si>
    <t>1992年</t>
    <rPh sb="4" eb="5">
      <t>ねん</t>
    </rPh>
    <phoneticPr fontId="1" type="Hiragana"/>
  </si>
  <si>
    <t>1997年</t>
    <rPh sb="4" eb="5">
      <t>ねん</t>
    </rPh>
    <phoneticPr fontId="1" type="Hiragana"/>
  </si>
  <si>
    <t>平成17年</t>
    <rPh sb="0" eb="2">
      <t>へいせい</t>
    </rPh>
    <rPh sb="4" eb="5">
      <t>ねん</t>
    </rPh>
    <phoneticPr fontId="1" type="Hiragana"/>
  </si>
  <si>
    <t>1998年</t>
    <rPh sb="4" eb="5">
      <t>ねん</t>
    </rPh>
    <phoneticPr fontId="1" type="Hiragana"/>
  </si>
  <si>
    <t>2000年</t>
    <rPh sb="4" eb="5">
      <t>ねん</t>
    </rPh>
    <phoneticPr fontId="1" type="Hiragana"/>
  </si>
  <si>
    <t>2003年</t>
    <rPh sb="4" eb="5">
      <t>ねん</t>
    </rPh>
    <phoneticPr fontId="1" type="Hiragana"/>
  </si>
  <si>
    <t>2005年</t>
    <rPh sb="4" eb="5">
      <t>ねん</t>
    </rPh>
    <phoneticPr fontId="1" type="Hiragana"/>
  </si>
  <si>
    <t>平成5年</t>
    <rPh sb="0" eb="2">
      <t>へいせい</t>
    </rPh>
    <rPh sb="3" eb="4">
      <t>ねん</t>
    </rPh>
    <phoneticPr fontId="1" type="Hiragana"/>
  </si>
  <si>
    <t>平成25年</t>
    <rPh sb="0" eb="2">
      <t>へいせい</t>
    </rPh>
    <rPh sb="4" eb="5">
      <t>ねん</t>
    </rPh>
    <phoneticPr fontId="1" type="Hiragana"/>
  </si>
  <si>
    <t>平成7年</t>
    <rPh sb="0" eb="2">
      <t>へいせい</t>
    </rPh>
    <rPh sb="3" eb="4">
      <t>ねん</t>
    </rPh>
    <phoneticPr fontId="1" type="Hiragana"/>
  </si>
  <si>
    <t>平成8年</t>
    <rPh sb="0" eb="2">
      <t>へいせい</t>
    </rPh>
    <rPh sb="3" eb="4">
      <t>ねん</t>
    </rPh>
    <phoneticPr fontId="1" type="Hiragana"/>
  </si>
  <si>
    <t>平成15年</t>
    <rPh sb="0" eb="2">
      <t>へいせい</t>
    </rPh>
    <rPh sb="4" eb="5">
      <t>ねん</t>
    </rPh>
    <phoneticPr fontId="1" type="Hiragana"/>
  </si>
  <si>
    <t>2006年</t>
    <rPh sb="4" eb="5">
      <t>ねん</t>
    </rPh>
    <phoneticPr fontId="1" type="Hiragana"/>
  </si>
  <si>
    <t>2008年</t>
    <rPh sb="4" eb="5">
      <t>ねん</t>
    </rPh>
    <phoneticPr fontId="1" type="Hiragana"/>
  </si>
  <si>
    <t>2010年</t>
    <rPh sb="4" eb="5">
      <t>ねん</t>
    </rPh>
    <phoneticPr fontId="1" type="Hiragana"/>
  </si>
  <si>
    <t>2012年</t>
    <rPh sb="4" eb="5">
      <t>ねん</t>
    </rPh>
    <phoneticPr fontId="1" type="Hiragana"/>
  </si>
  <si>
    <t>平成24年</t>
    <rPh sb="0" eb="2">
      <t>へいせい</t>
    </rPh>
    <rPh sb="4" eb="5">
      <t>ねん</t>
    </rPh>
    <phoneticPr fontId="1" type="Hiragana"/>
  </si>
  <si>
    <t>2015年</t>
    <rPh sb="4" eb="5">
      <t>ねん</t>
    </rPh>
    <phoneticPr fontId="1" type="Hiragana"/>
  </si>
  <si>
    <t>2016年</t>
    <rPh sb="4" eb="5">
      <t>ねん</t>
    </rPh>
    <phoneticPr fontId="1" type="Hiragana"/>
  </si>
  <si>
    <t>平成20年</t>
    <rPh sb="0" eb="2">
      <t>へいせい</t>
    </rPh>
    <rPh sb="4" eb="5">
      <t>ねん</t>
    </rPh>
    <phoneticPr fontId="1" type="Hiragana"/>
  </si>
  <si>
    <t>平成22年</t>
    <rPh sb="0" eb="2">
      <t>へいせい</t>
    </rPh>
    <rPh sb="4" eb="5">
      <t>ねん</t>
    </rPh>
    <phoneticPr fontId="1" type="Hiragana"/>
  </si>
  <si>
    <t>平成23年</t>
    <rPh sb="0" eb="2">
      <t>へいせい</t>
    </rPh>
    <rPh sb="4" eb="5">
      <t>ねん</t>
    </rPh>
    <phoneticPr fontId="1" type="Hiragana"/>
  </si>
  <si>
    <t>平成27年</t>
    <rPh sb="0" eb="2">
      <t>へいせい</t>
    </rPh>
    <rPh sb="4" eb="5">
      <t>ねん</t>
    </rPh>
    <phoneticPr fontId="1" type="Hiragana"/>
  </si>
  <si>
    <t>平成30年</t>
    <rPh sb="0" eb="2">
      <t>へいせい</t>
    </rPh>
    <rPh sb="4" eb="5">
      <t>ねん</t>
    </rPh>
    <phoneticPr fontId="1" type="Hiragana"/>
  </si>
  <si>
    <t>2020年</t>
    <rPh sb="4" eb="5">
      <t>ねん</t>
    </rPh>
    <phoneticPr fontId="1" type="Hiragana"/>
  </si>
  <si>
    <t>均等割（支援分）</t>
    <rPh sb="0" eb="3">
      <t>きんとうわり</t>
    </rPh>
    <rPh sb="4" eb="6">
      <t>しえん</t>
    </rPh>
    <rPh sb="6" eb="7">
      <t>ぶん</t>
    </rPh>
    <phoneticPr fontId="1" type="Hiragana"/>
  </si>
  <si>
    <t>2022年</t>
    <rPh sb="4" eb="5">
      <t>ねん</t>
    </rPh>
    <phoneticPr fontId="1" type="Hiragana"/>
  </si>
  <si>
    <t>　　　　・世帯に後期高齢者医療制度に移行している方がいる場合</t>
    <rPh sb="5" eb="7">
      <t>せたい</t>
    </rPh>
    <rPh sb="8" eb="10">
      <t>こうき</t>
    </rPh>
    <rPh sb="10" eb="13">
      <t>こうれいしゃ</t>
    </rPh>
    <rPh sb="13" eb="15">
      <t>いりょう</t>
    </rPh>
    <rPh sb="15" eb="17">
      <t>せいど</t>
    </rPh>
    <rPh sb="18" eb="20">
      <t>いこう</t>
    </rPh>
    <rPh sb="24" eb="25">
      <t>かた</t>
    </rPh>
    <rPh sb="28" eb="30">
      <t>ばあい</t>
    </rPh>
    <phoneticPr fontId="1" type="Hiragana"/>
  </si>
  <si>
    <t>令和3年</t>
    <rPh sb="0" eb="2">
      <t>れいわ</t>
    </rPh>
    <rPh sb="3" eb="4">
      <t>ねん</t>
    </rPh>
    <phoneticPr fontId="1" type="Hiragana"/>
  </si>
  <si>
    <t>令和4年</t>
    <rPh sb="0" eb="2">
      <t>れいわ</t>
    </rPh>
    <rPh sb="3" eb="4">
      <t>ねん</t>
    </rPh>
    <phoneticPr fontId="1" type="Hiragana"/>
  </si>
  <si>
    <t>１　世帯主の欄は、加入の有無にかかわらず入力し、加入の場合は「○」、加入しない場合は「×」を選択してください。</t>
    <rPh sb="2" eb="5">
      <t>せたいぬし</t>
    </rPh>
    <rPh sb="6" eb="7">
      <t>らん</t>
    </rPh>
    <rPh sb="9" eb="11">
      <t>かにゅう</t>
    </rPh>
    <rPh sb="12" eb="14">
      <t>うむ</t>
    </rPh>
    <rPh sb="20" eb="22">
      <t>にゅうりょく</t>
    </rPh>
    <rPh sb="24" eb="26">
      <t>かにゅう</t>
    </rPh>
    <rPh sb="27" eb="29">
      <t>ばあい</t>
    </rPh>
    <rPh sb="34" eb="36">
      <t>かにゅう</t>
    </rPh>
    <rPh sb="39" eb="41">
      <t>ばあい</t>
    </rPh>
    <rPh sb="46" eb="48">
      <t>せんたく</t>
    </rPh>
    <phoneticPr fontId="1" type="Hiragana"/>
  </si>
  <si>
    <r>
      <t>⑤その他の</t>
    </r>
    <r>
      <rPr>
        <b/>
        <sz val="11"/>
        <color rgb="FFFF0000"/>
        <rFont val="ＭＳ Ｐゴシック"/>
      </rPr>
      <t>所得</t>
    </r>
    <r>
      <rPr>
        <sz val="11"/>
        <color theme="1"/>
        <rFont val="ＭＳ Ｐゴシック"/>
      </rPr>
      <t xml:space="preserve">
</t>
    </r>
    <r>
      <rPr>
        <sz val="8"/>
        <color theme="1"/>
        <rFont val="ＭＳ Ｐゴシック"/>
      </rPr>
      <t>（営業所得、不動産譲渡所得など）
※マイナスの場合は0として入力してください。</t>
    </r>
    <rPh sb="3" eb="4">
      <t>た</t>
    </rPh>
    <rPh sb="5" eb="7">
      <t>しょとく</t>
    </rPh>
    <rPh sb="9" eb="11">
      <t>えいぎょう</t>
    </rPh>
    <rPh sb="11" eb="13">
      <t>しょとく</t>
    </rPh>
    <rPh sb="14" eb="17">
      <t>ふどうさん</t>
    </rPh>
    <rPh sb="17" eb="19">
      <t>じょうと</t>
    </rPh>
    <rPh sb="19" eb="21">
      <t>しょとく</t>
    </rPh>
    <rPh sb="31" eb="33">
      <t>ばあい</t>
    </rPh>
    <rPh sb="38" eb="40">
      <t>にゅうりょく</t>
    </rPh>
    <phoneticPr fontId="1" type="Hiragana"/>
  </si>
  <si>
    <t>項目に入力する数字の確認方法</t>
    <rPh sb="0" eb="2">
      <t>こうもく</t>
    </rPh>
    <rPh sb="3" eb="5">
      <t>にゅうりょく</t>
    </rPh>
    <rPh sb="7" eb="9">
      <t>すうじ</t>
    </rPh>
    <rPh sb="10" eb="12">
      <t>かくにん</t>
    </rPh>
    <rPh sb="12" eb="14">
      <t>ほうほう</t>
    </rPh>
    <phoneticPr fontId="1" type="Hiragana"/>
  </si>
  <si>
    <t>令和8年3月31日現在で7歳未満</t>
    <rPh sb="0" eb="2">
      <t>れいわ</t>
    </rPh>
    <rPh sb="3" eb="4">
      <t>ねん</t>
    </rPh>
    <rPh sb="5" eb="6">
      <t>がつ</t>
    </rPh>
    <rPh sb="8" eb="9">
      <t>にち</t>
    </rPh>
    <rPh sb="9" eb="11">
      <t>げんざい</t>
    </rPh>
    <rPh sb="13" eb="14">
      <t>さい</t>
    </rPh>
    <rPh sb="14" eb="16">
      <t>みまん</t>
    </rPh>
    <phoneticPr fontId="1" type="Hiragana"/>
  </si>
  <si>
    <r>
      <t>④年金収入　</t>
    </r>
    <r>
      <rPr>
        <sz val="11"/>
        <color theme="1"/>
        <rFont val="ＭＳ Ｐゴシック"/>
      </rPr>
      <t xml:space="preserve">
　●公的年金等の源泉徴収票の場合、赤枠の「支払金額」に
　に記載されている金額を入力してください。</t>
    </r>
    <rPh sb="1" eb="3">
      <t>ねんきん</t>
    </rPh>
    <rPh sb="3" eb="5">
      <t>しゅうにゅう</t>
    </rPh>
    <rPh sb="9" eb="11">
      <t>こうてき</t>
    </rPh>
    <rPh sb="11" eb="13">
      <t>ねんきん</t>
    </rPh>
    <rPh sb="13" eb="14">
      <t>とう</t>
    </rPh>
    <rPh sb="15" eb="17">
      <t>げんせん</t>
    </rPh>
    <rPh sb="17" eb="20">
      <t>ちょうしゅうひょう</t>
    </rPh>
    <rPh sb="21" eb="23">
      <t>ばあい</t>
    </rPh>
    <rPh sb="24" eb="25">
      <t>あか</t>
    </rPh>
    <rPh sb="25" eb="26">
      <t>わく</t>
    </rPh>
    <rPh sb="28" eb="30">
      <t>しはらい</t>
    </rPh>
    <rPh sb="30" eb="32">
      <t>きんがく</t>
    </rPh>
    <rPh sb="37" eb="39">
      <t>きさい</t>
    </rPh>
    <rPh sb="44" eb="46">
      <t>きんがく</t>
    </rPh>
    <rPh sb="47" eb="49">
      <t>にゅうりょく</t>
    </rPh>
    <phoneticPr fontId="1" type="Hiragana"/>
  </si>
  <si>
    <t>　●確定申告書Aの場合、収入金額等欄の赤枠の「公的年金等」
　に記載されている金額を入力してください。</t>
    <rPh sb="2" eb="4">
      <t>かくてい</t>
    </rPh>
    <rPh sb="4" eb="6">
      <t>しんこく</t>
    </rPh>
    <rPh sb="6" eb="7">
      <t>しょ</t>
    </rPh>
    <rPh sb="9" eb="11">
      <t>ばあい</t>
    </rPh>
    <rPh sb="12" eb="14">
      <t>しゅうにゅう</t>
    </rPh>
    <rPh sb="14" eb="16">
      <t>きんがく</t>
    </rPh>
    <rPh sb="16" eb="17">
      <t>とう</t>
    </rPh>
    <rPh sb="17" eb="18">
      <t>らん</t>
    </rPh>
    <rPh sb="19" eb="20">
      <t>あか</t>
    </rPh>
    <rPh sb="20" eb="21">
      <t>わく</t>
    </rPh>
    <rPh sb="23" eb="25">
      <t>こうてき</t>
    </rPh>
    <rPh sb="25" eb="27">
      <t>ねんきん</t>
    </rPh>
    <rPh sb="27" eb="28">
      <t>とう</t>
    </rPh>
    <rPh sb="32" eb="34">
      <t>きさい</t>
    </rPh>
    <rPh sb="39" eb="41">
      <t>きんがく</t>
    </rPh>
    <rPh sb="42" eb="44">
      <t>にゅうりょく</t>
    </rPh>
    <phoneticPr fontId="1" type="Hiragana"/>
  </si>
  <si>
    <t>均等割（介護分）</t>
    <rPh sb="0" eb="3">
      <t>きんとうわり</t>
    </rPh>
    <rPh sb="4" eb="6">
      <t>かいご</t>
    </rPh>
    <rPh sb="6" eb="7">
      <t>ぶん</t>
    </rPh>
    <phoneticPr fontId="1" type="Hiragana"/>
  </si>
  <si>
    <r>
      <t>⑤その他の所得</t>
    </r>
    <r>
      <rPr>
        <sz val="11"/>
        <color theme="1"/>
        <rFont val="ＭＳ Ｐゴシック"/>
      </rPr>
      <t xml:space="preserve">
　●確定申告書Bの場合、赤枠の「所得金額」の合計額を入力してください。
　※給与所得、年金所得は除きます。
　※退職所得は含めない（雑所得の場合を除く）</t>
    </r>
    <rPh sb="3" eb="4">
      <t>た</t>
    </rPh>
    <rPh sb="5" eb="7">
      <t>しょとく</t>
    </rPh>
    <rPh sb="10" eb="12">
      <t>かくてい</t>
    </rPh>
    <rPh sb="12" eb="14">
      <t>しんこく</t>
    </rPh>
    <rPh sb="14" eb="15">
      <t>しょ</t>
    </rPh>
    <rPh sb="17" eb="19">
      <t>ばあい</t>
    </rPh>
    <rPh sb="20" eb="21">
      <t>あか</t>
    </rPh>
    <rPh sb="21" eb="22">
      <t>わく</t>
    </rPh>
    <rPh sb="24" eb="26">
      <t>しょとく</t>
    </rPh>
    <rPh sb="26" eb="28">
      <t>きんがく</t>
    </rPh>
    <rPh sb="30" eb="33">
      <t>ごうけいがく</t>
    </rPh>
    <rPh sb="34" eb="36">
      <t>にゅうりょく</t>
    </rPh>
    <rPh sb="46" eb="48">
      <t>きゅうよ</t>
    </rPh>
    <rPh sb="48" eb="50">
      <t>しょとく</t>
    </rPh>
    <rPh sb="51" eb="53">
      <t>ねんきん</t>
    </rPh>
    <rPh sb="53" eb="55">
      <t>しょとく</t>
    </rPh>
    <rPh sb="56" eb="57">
      <t>のぞ</t>
    </rPh>
    <rPh sb="64" eb="66">
      <t>たいしょく</t>
    </rPh>
    <rPh sb="66" eb="68">
      <t>しょとく</t>
    </rPh>
    <rPh sb="69" eb="70">
      <t>ふく</t>
    </rPh>
    <rPh sb="74" eb="77">
      <t>ざつしょとく</t>
    </rPh>
    <rPh sb="78" eb="80">
      <t>ばあい</t>
    </rPh>
    <rPh sb="81" eb="82">
      <t>のぞ</t>
    </rPh>
    <phoneticPr fontId="1" type="Hiragana"/>
  </si>
  <si>
    <t>　　確定申告書で入力する場合は、給与収入金額欄・年金収入金額欄・退職所得欄は入力しないでください。</t>
    <rPh sb="2" eb="4">
      <t>かくてい</t>
    </rPh>
    <rPh sb="4" eb="7">
      <t>しんこくしょ</t>
    </rPh>
    <rPh sb="8" eb="10">
      <t>にゅうりょく</t>
    </rPh>
    <rPh sb="12" eb="14">
      <t>ばあい</t>
    </rPh>
    <rPh sb="16" eb="18">
      <t>きゅうよ</t>
    </rPh>
    <rPh sb="18" eb="20">
      <t>しゅうにゅう</t>
    </rPh>
    <rPh sb="20" eb="23">
      <t>きんがくらん</t>
    </rPh>
    <rPh sb="24" eb="26">
      <t>ねんきん</t>
    </rPh>
    <rPh sb="26" eb="28">
      <t>しゅうにゅう</t>
    </rPh>
    <rPh sb="28" eb="31">
      <t>きんがくらん</t>
    </rPh>
    <rPh sb="32" eb="34">
      <t>たいしょく</t>
    </rPh>
    <rPh sb="34" eb="36">
      <t>しょとく</t>
    </rPh>
    <rPh sb="36" eb="37">
      <t>らん</t>
    </rPh>
    <rPh sb="38" eb="40">
      <t>にゅうりょく</t>
    </rPh>
    <phoneticPr fontId="1" type="Hiragana"/>
  </si>
  <si>
    <t>給与所得と公的年金等の雑所得の合計額が10万円を超える場合</t>
    <rPh sb="0" eb="2">
      <t>きゅうよ</t>
    </rPh>
    <rPh sb="2" eb="4">
      <t>しょとく</t>
    </rPh>
    <rPh sb="5" eb="7">
      <t>こうてき</t>
    </rPh>
    <rPh sb="7" eb="9">
      <t>ねんきん</t>
    </rPh>
    <rPh sb="9" eb="10">
      <t>とう</t>
    </rPh>
    <rPh sb="11" eb="14">
      <t>ざつしょとく</t>
    </rPh>
    <rPh sb="15" eb="17">
      <t>ごうけい</t>
    </rPh>
    <rPh sb="17" eb="18">
      <t>がく</t>
    </rPh>
    <rPh sb="21" eb="23">
      <t>まんえん</t>
    </rPh>
    <rPh sb="24" eb="25">
      <t>こ</t>
    </rPh>
    <rPh sb="27" eb="29">
      <t>ばあい</t>
    </rPh>
    <phoneticPr fontId="1" type="Hiragana"/>
  </si>
  <si>
    <t>給与所得控除後の給与等の金額</t>
    <rPh sb="0" eb="2">
      <t>きゅうよ</t>
    </rPh>
    <rPh sb="2" eb="4">
      <t>しょとく</t>
    </rPh>
    <rPh sb="4" eb="6">
      <t>こうじょ</t>
    </rPh>
    <rPh sb="6" eb="7">
      <t>ご</t>
    </rPh>
    <rPh sb="8" eb="10">
      <t>きゅうよ</t>
    </rPh>
    <rPh sb="10" eb="11">
      <t>とう</t>
    </rPh>
    <rPh sb="12" eb="14">
      <t>きんがく</t>
    </rPh>
    <phoneticPr fontId="1" type="Hiragana"/>
  </si>
  <si>
    <t>公的年金等の雑所得の金額</t>
    <rPh sb="0" eb="2">
      <t>こうてき</t>
    </rPh>
    <rPh sb="2" eb="4">
      <t>ねんきん</t>
    </rPh>
    <rPh sb="4" eb="5">
      <t>とう</t>
    </rPh>
    <rPh sb="6" eb="9">
      <t>ざつしょとく</t>
    </rPh>
    <rPh sb="10" eb="12">
      <t>きんがく</t>
    </rPh>
    <phoneticPr fontId="1" type="Hiragana"/>
  </si>
  <si>
    <t>調整控除</t>
    <rPh sb="0" eb="2">
      <t>ちょうせい</t>
    </rPh>
    <rPh sb="2" eb="4">
      <t>こうじょ</t>
    </rPh>
    <phoneticPr fontId="1" type="Hiragana"/>
  </si>
  <si>
    <t>令和7年12月</t>
    <rPh sb="0" eb="2">
      <t>れいわ</t>
    </rPh>
    <rPh sb="3" eb="4">
      <t>ねん</t>
    </rPh>
    <rPh sb="6" eb="7">
      <t>がつ</t>
    </rPh>
    <phoneticPr fontId="1" type="Hiragana"/>
  </si>
  <si>
    <t>2月</t>
    <rPh sb="1" eb="2">
      <t>がつ</t>
    </rPh>
    <phoneticPr fontId="1" type="Hiragana"/>
  </si>
  <si>
    <t>3月</t>
    <rPh sb="1" eb="2">
      <t>がつ</t>
    </rPh>
    <phoneticPr fontId="1" type="Hiragana"/>
  </si>
  <si>
    <t>4月</t>
    <rPh sb="1" eb="2">
      <t>がつ</t>
    </rPh>
    <phoneticPr fontId="1" type="Hiragana"/>
  </si>
  <si>
    <t>6月</t>
    <rPh sb="1" eb="2">
      <t>がつ</t>
    </rPh>
    <phoneticPr fontId="1" type="Hiragana"/>
  </si>
  <si>
    <t>9月</t>
    <rPh sb="1" eb="2">
      <t>がつ</t>
    </rPh>
    <phoneticPr fontId="1" type="Hiragana"/>
  </si>
  <si>
    <t>11月</t>
    <rPh sb="2" eb="3">
      <t>がつ</t>
    </rPh>
    <phoneticPr fontId="1" type="Hiragana"/>
  </si>
  <si>
    <t>12月</t>
    <rPh sb="2" eb="3">
      <t>がつ</t>
    </rPh>
    <phoneticPr fontId="1" type="Hiragana"/>
  </si>
  <si>
    <t>は毎年度更新</t>
    <rPh sb="1" eb="4">
      <t>まいねんど</t>
    </rPh>
    <rPh sb="4" eb="6">
      <t>こうしん</t>
    </rPh>
    <phoneticPr fontId="1" type="Hiragana"/>
  </si>
  <si>
    <t>介護年齢（誕生日の前日）</t>
    <rPh sb="0" eb="2">
      <t>かいご</t>
    </rPh>
    <rPh sb="2" eb="4">
      <t>ねんれい</t>
    </rPh>
    <rPh sb="5" eb="8">
      <t>たんじょうび</t>
    </rPh>
    <rPh sb="9" eb="11">
      <t>ぜんじつ</t>
    </rPh>
    <phoneticPr fontId="1" type="Hiragana"/>
  </si>
  <si>
    <t>合計</t>
    <rPh sb="0" eb="2">
      <t>ごうけい</t>
    </rPh>
    <phoneticPr fontId="1" type="Hiragana"/>
  </si>
  <si>
    <t>均等割（医療分）</t>
    <rPh sb="0" eb="3">
      <t>きんとうわり</t>
    </rPh>
    <rPh sb="4" eb="6">
      <t>いりょう</t>
    </rPh>
    <rPh sb="6" eb="7">
      <t>ぶん</t>
    </rPh>
    <phoneticPr fontId="1" type="Hiragana"/>
  </si>
  <si>
    <t>総計</t>
    <rPh sb="0" eb="2">
      <t>そうけい</t>
    </rPh>
    <phoneticPr fontId="1" type="Hiragana"/>
  </si>
  <si>
    <t>小計</t>
    <rPh sb="0" eb="2">
      <t>しょうけい</t>
    </rPh>
    <phoneticPr fontId="1" type="Hiragana"/>
  </si>
  <si>
    <t>税額</t>
    <rPh sb="0" eb="2">
      <t>ぜいがく</t>
    </rPh>
    <phoneticPr fontId="1" type="Hiragana"/>
  </si>
  <si>
    <t>　　　  ・年度途中での加入者の増減がある場合</t>
    <rPh sb="6" eb="8">
      <t>ねんど</t>
    </rPh>
    <rPh sb="8" eb="10">
      <t>とちゅう</t>
    </rPh>
    <rPh sb="12" eb="14">
      <t>かにゅう</t>
    </rPh>
    <rPh sb="14" eb="15">
      <t>しゃ</t>
    </rPh>
    <rPh sb="16" eb="18">
      <t>ぞうげん</t>
    </rPh>
    <rPh sb="21" eb="23">
      <t>ばあい</t>
    </rPh>
    <phoneticPr fontId="1" type="Hiragana"/>
  </si>
  <si>
    <t>終期</t>
    <rPh sb="0" eb="2">
      <t>しゅうき</t>
    </rPh>
    <phoneticPr fontId="1" type="Hiragana"/>
  </si>
  <si>
    <t>第2期</t>
    <rPh sb="0" eb="1">
      <t>だい</t>
    </rPh>
    <rPh sb="2" eb="3">
      <t>き</t>
    </rPh>
    <phoneticPr fontId="1" type="Hiragana"/>
  </si>
  <si>
    <t>第4期</t>
    <rPh sb="0" eb="1">
      <t>だい</t>
    </rPh>
    <rPh sb="2" eb="3">
      <t>き</t>
    </rPh>
    <phoneticPr fontId="1" type="Hiragana"/>
  </si>
  <si>
    <t>第5期</t>
    <rPh sb="0" eb="1">
      <t>だい</t>
    </rPh>
    <rPh sb="2" eb="3">
      <t>き</t>
    </rPh>
    <phoneticPr fontId="1" type="Hiragana"/>
  </si>
  <si>
    <t>第7期</t>
    <rPh sb="0" eb="1">
      <t>だい</t>
    </rPh>
    <rPh sb="2" eb="3">
      <t>き</t>
    </rPh>
    <phoneticPr fontId="1" type="Hiragana"/>
  </si>
  <si>
    <t>第8期</t>
    <rPh sb="0" eb="1">
      <t>だい</t>
    </rPh>
    <rPh sb="2" eb="3">
      <t>き</t>
    </rPh>
    <phoneticPr fontId="1" type="Hiragana"/>
  </si>
  <si>
    <t>第9期</t>
    <rPh sb="0" eb="1">
      <t>だい</t>
    </rPh>
    <rPh sb="2" eb="3">
      <t>き</t>
    </rPh>
    <phoneticPr fontId="1" type="Hiragana"/>
  </si>
  <si>
    <t>第10期</t>
    <rPh sb="0" eb="1">
      <t>だい</t>
    </rPh>
    <rPh sb="3" eb="4">
      <t>き</t>
    </rPh>
    <phoneticPr fontId="1" type="Hiragana"/>
  </si>
  <si>
    <t>始期</t>
    <rPh sb="0" eb="1">
      <t>はじ</t>
    </rPh>
    <rPh sb="1" eb="2">
      <t>き</t>
    </rPh>
    <phoneticPr fontId="1" type="Hiragana"/>
  </si>
  <si>
    <t>加入期間に応じた保険税額</t>
    <rPh sb="0" eb="2">
      <t>かにゅう</t>
    </rPh>
    <rPh sb="2" eb="4">
      <t>きかん</t>
    </rPh>
    <rPh sb="5" eb="6">
      <t>おう</t>
    </rPh>
    <rPh sb="8" eb="10">
      <t>ほけん</t>
    </rPh>
    <rPh sb="10" eb="11">
      <t>ぜい</t>
    </rPh>
    <rPh sb="11" eb="12">
      <t>がく</t>
    </rPh>
    <phoneticPr fontId="1" type="Hiragana"/>
  </si>
  <si>
    <t>普通徴収の場合（年間）</t>
    <rPh sb="0" eb="2">
      <t>ふつう</t>
    </rPh>
    <rPh sb="2" eb="4">
      <t>ちょうしゅう</t>
    </rPh>
    <rPh sb="5" eb="7">
      <t>ばあい</t>
    </rPh>
    <rPh sb="8" eb="10">
      <t>ねんかん</t>
    </rPh>
    <phoneticPr fontId="1" type="Hiragana"/>
  </si>
  <si>
    <t>加入期間に応じた保険税額</t>
  </si>
  <si>
    <t>所得割（支援分）</t>
    <rPh sb="0" eb="3">
      <t>しょとくわり</t>
    </rPh>
    <rPh sb="4" eb="6">
      <t>しえん</t>
    </rPh>
    <rPh sb="6" eb="7">
      <t>ぶん</t>
    </rPh>
    <phoneticPr fontId="1" type="Hiragana"/>
  </si>
  <si>
    <t>平等割（支援分）</t>
    <rPh sb="0" eb="2">
      <t>びょうどう</t>
    </rPh>
    <rPh sb="2" eb="3">
      <t>わり</t>
    </rPh>
    <rPh sb="4" eb="6">
      <t>しえん</t>
    </rPh>
    <rPh sb="6" eb="7">
      <t>ぶん</t>
    </rPh>
    <phoneticPr fontId="1" type="Hiragana"/>
  </si>
  <si>
    <t>医療・支援年齢</t>
    <rPh sb="0" eb="2">
      <t>いりょう</t>
    </rPh>
    <rPh sb="3" eb="5">
      <t>しえん</t>
    </rPh>
    <rPh sb="5" eb="7">
      <t>ねんれい</t>
    </rPh>
    <phoneticPr fontId="1" type="Hiragana"/>
  </si>
  <si>
    <t>年齢
(1/1時点）</t>
    <rPh sb="0" eb="2">
      <t>ねんれい</t>
    </rPh>
    <rPh sb="7" eb="9">
      <t>じてん</t>
    </rPh>
    <phoneticPr fontId="1" type="Hiragana"/>
  </si>
  <si>
    <t>2025年</t>
    <rPh sb="4" eb="5">
      <t>ねん</t>
    </rPh>
    <phoneticPr fontId="1" type="Hiragana"/>
  </si>
  <si>
    <t>2023年</t>
    <rPh sb="4" eb="5">
      <t>ねん</t>
    </rPh>
    <phoneticPr fontId="1" type="Hiragana"/>
  </si>
  <si>
    <t>2024年</t>
    <rPh sb="4" eb="5">
      <t>ねん</t>
    </rPh>
    <phoneticPr fontId="1" type="Hiragana"/>
  </si>
  <si>
    <t>令和5年</t>
    <rPh sb="0" eb="2">
      <t>れいわ</t>
    </rPh>
    <rPh sb="3" eb="4">
      <t>ねん</t>
    </rPh>
    <phoneticPr fontId="1" type="Hiragana"/>
  </si>
  <si>
    <t>令和8年3月</t>
    <rPh sb="0" eb="2">
      <t>れいわ</t>
    </rPh>
    <rPh sb="3" eb="4">
      <t>ねん</t>
    </rPh>
    <rPh sb="5" eb="6">
      <t>がつ</t>
    </rPh>
    <phoneticPr fontId="1" type="Hiragana"/>
  </si>
  <si>
    <r>
      <t>令和７</t>
    </r>
    <r>
      <rPr>
        <sz val="26"/>
        <color theme="1"/>
        <rFont val="ＭＳ Ｐゴシック"/>
      </rPr>
      <t>年度　登別市国民健康保険税簡易試算表</t>
    </r>
    <rPh sb="0" eb="2">
      <t>れいわ</t>
    </rPh>
    <rPh sb="3" eb="4">
      <t>ねん</t>
    </rPh>
    <rPh sb="4" eb="5">
      <t>ど</t>
    </rPh>
    <rPh sb="6" eb="9">
      <t>のぼりべつし</t>
    </rPh>
    <rPh sb="9" eb="11">
      <t>こくみん</t>
    </rPh>
    <rPh sb="11" eb="13">
      <t>けんこう</t>
    </rPh>
    <rPh sb="13" eb="15">
      <t>ほけん</t>
    </rPh>
    <rPh sb="15" eb="16">
      <t>ぜい</t>
    </rPh>
    <rPh sb="16" eb="18">
      <t>かんい</t>
    </rPh>
    <rPh sb="18" eb="21">
      <t>しさんひょう</t>
    </rPh>
    <phoneticPr fontId="1" type="Hiragana"/>
  </si>
  <si>
    <t>令和7年5月</t>
    <rPh sb="0" eb="2">
      <t>れいわ</t>
    </rPh>
    <rPh sb="3" eb="4">
      <t>ねん</t>
    </rPh>
    <rPh sb="5" eb="6">
      <t>がつ</t>
    </rPh>
    <phoneticPr fontId="1" type="Hiragana"/>
  </si>
  <si>
    <t>令和7年6月</t>
    <rPh sb="0" eb="2">
      <t>れいわ</t>
    </rPh>
    <rPh sb="3" eb="4">
      <t>ねん</t>
    </rPh>
    <rPh sb="5" eb="6">
      <t>がつ</t>
    </rPh>
    <phoneticPr fontId="1" type="Hiragana"/>
  </si>
  <si>
    <t>令和7年8月</t>
    <rPh sb="0" eb="2">
      <t>れいわ</t>
    </rPh>
    <rPh sb="3" eb="4">
      <t>ねん</t>
    </rPh>
    <rPh sb="5" eb="6">
      <t>がつ</t>
    </rPh>
    <phoneticPr fontId="1" type="Hiragana"/>
  </si>
  <si>
    <t>令和7年9月</t>
    <rPh sb="0" eb="2">
      <t>れいわ</t>
    </rPh>
    <rPh sb="3" eb="4">
      <t>ねん</t>
    </rPh>
    <rPh sb="5" eb="6">
      <t>がつ</t>
    </rPh>
    <phoneticPr fontId="1" type="Hiragana"/>
  </si>
  <si>
    <t>令和7年11月</t>
    <rPh sb="0" eb="2">
      <t>れいわ</t>
    </rPh>
    <rPh sb="3" eb="4">
      <t>ねん</t>
    </rPh>
    <rPh sb="6" eb="7">
      <t>がつ</t>
    </rPh>
    <phoneticPr fontId="1" type="Hiragana"/>
  </si>
  <si>
    <t>令和8年2月</t>
    <rPh sb="0" eb="2">
      <t>れいわ</t>
    </rPh>
    <rPh sb="3" eb="4">
      <t>ねん</t>
    </rPh>
    <rPh sb="5" eb="6">
      <t>がつ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</si>
</sst>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6"/>
      <color theme="0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26"/>
      <color theme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theme="1"/>
      <name val="ＤＦ特太ゴシック体"/>
      <family val="3"/>
    </font>
    <font>
      <sz val="11"/>
      <color theme="1"/>
      <name val="ＤＦ特太ゴシック体"/>
      <family val="3"/>
    </font>
    <font>
      <sz val="11"/>
      <color theme="1"/>
      <name val="ＭＳ Ｐゴシック"/>
      <family val="3"/>
      <scheme val="minor"/>
    </font>
    <font>
      <sz val="22"/>
      <color theme="1"/>
      <name val="ＤＦ特太ゴシック体"/>
      <family val="3"/>
    </font>
    <font>
      <b/>
      <sz val="14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8.5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11"/>
      <color theme="3"/>
      <name val="ＭＳ Ｐゴシック"/>
      <family val="3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theme="3" tint="-0.25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2" xfId="0" applyBorder="1">
      <alignment vertical="center"/>
    </xf>
    <xf numFmtId="0" fontId="2" fillId="3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0" fillId="0" borderId="3" xfId="0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2" fillId="3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9" xfId="0" applyBorder="1">
      <alignment vertical="center"/>
    </xf>
    <xf numFmtId="0" fontId="3" fillId="3" borderId="0" xfId="0" applyFont="1" applyFill="1" applyBorder="1">
      <alignment vertical="center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5" fillId="4" borderId="10" xfId="0" applyFont="1" applyFill="1" applyBorder="1" applyProtection="1">
      <alignment vertical="center"/>
      <protection locked="0"/>
    </xf>
    <xf numFmtId="0" fontId="5" fillId="4" borderId="8" xfId="0" applyFont="1" applyFill="1" applyBorder="1" applyProtection="1">
      <alignment vertical="center"/>
      <protection locked="0"/>
    </xf>
    <xf numFmtId="38" fontId="6" fillId="0" borderId="11" xfId="0" applyNumberFormat="1" applyFont="1" applyBorder="1" applyAlignment="1" applyProtection="1">
      <alignment horizontal="right" vertical="center"/>
    </xf>
    <xf numFmtId="38" fontId="7" fillId="0" borderId="11" xfId="0" applyNumberFormat="1" applyFont="1" applyBorder="1" applyAlignment="1" applyProtection="1">
      <alignment horizontal="right" vertical="center"/>
    </xf>
    <xf numFmtId="38" fontId="0" fillId="0" borderId="0" xfId="0" applyNumberFormat="1" applyFont="1" applyBorder="1" applyAlignment="1" applyProtection="1">
      <alignment horizontal="right" vertical="center"/>
    </xf>
    <xf numFmtId="38" fontId="0" fillId="0" borderId="0" xfId="0" applyNumberFormat="1" applyFont="1" applyAlignment="1" applyProtection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38" fontId="6" fillId="0" borderId="14" xfId="0" applyNumberFormat="1" applyFont="1" applyBorder="1" applyAlignment="1" applyProtection="1">
      <alignment horizontal="right" vertical="center"/>
    </xf>
    <xf numFmtId="38" fontId="7" fillId="0" borderId="14" xfId="0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38" fontId="5" fillId="4" borderId="19" xfId="1" applyFont="1" applyFill="1" applyBorder="1" applyAlignment="1" applyProtection="1">
      <alignment horizontal="right" vertical="center"/>
      <protection locked="0"/>
    </xf>
    <xf numFmtId="38" fontId="5" fillId="4" borderId="20" xfId="1" applyFont="1" applyFill="1" applyBorder="1" applyAlignment="1" applyProtection="1">
      <alignment horizontal="right" vertical="center"/>
      <protection locked="0"/>
    </xf>
    <xf numFmtId="38" fontId="5" fillId="4" borderId="11" xfId="1" applyFont="1" applyFill="1" applyBorder="1" applyAlignment="1" applyProtection="1">
      <alignment horizontal="right" vertical="center"/>
      <protection locked="0"/>
    </xf>
    <xf numFmtId="0" fontId="0" fillId="0" borderId="21" xfId="0" applyFont="1" applyBorder="1" applyAlignment="1" applyProtection="1">
      <alignment horizontal="center" vertical="center"/>
    </xf>
    <xf numFmtId="38" fontId="11" fillId="0" borderId="0" xfId="0" applyNumberFormat="1" applyFont="1" applyBorder="1" applyAlignment="1">
      <alignment vertical="center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38" fontId="5" fillId="4" borderId="22" xfId="1" applyFont="1" applyFill="1" applyBorder="1" applyAlignment="1" applyProtection="1">
      <alignment horizontal="right" vertical="center"/>
      <protection locked="0"/>
    </xf>
    <xf numFmtId="38" fontId="5" fillId="4" borderId="23" xfId="1" applyFont="1" applyFill="1" applyBorder="1" applyAlignment="1" applyProtection="1">
      <alignment horizontal="right" vertical="center"/>
      <protection locked="0"/>
    </xf>
    <xf numFmtId="38" fontId="5" fillId="4" borderId="16" xfId="1" applyFont="1" applyFill="1" applyBorder="1" applyAlignment="1" applyProtection="1">
      <alignment horizontal="right" vertical="center"/>
      <protection locked="0"/>
    </xf>
    <xf numFmtId="38" fontId="11" fillId="0" borderId="12" xfId="0" applyNumberFormat="1" applyFont="1" applyBorder="1" applyAlignment="1">
      <alignment horizontal="right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center" vertical="center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5" xfId="1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right" vertical="center"/>
    </xf>
    <xf numFmtId="38" fontId="0" fillId="0" borderId="5" xfId="0" applyNumberFormat="1" applyFont="1" applyBorder="1" applyAlignment="1" applyProtection="1">
      <alignment horizontal="center" vertical="center"/>
    </xf>
    <xf numFmtId="38" fontId="0" fillId="0" borderId="21" xfId="0" applyNumberFormat="1" applyFont="1" applyBorder="1" applyAlignment="1" applyProtection="1">
      <alignment vertical="center"/>
    </xf>
    <xf numFmtId="38" fontId="11" fillId="0" borderId="13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38" fontId="5" fillId="4" borderId="26" xfId="1" applyFont="1" applyFill="1" applyBorder="1" applyAlignment="1" applyProtection="1">
      <alignment horizontal="right" vertical="center"/>
      <protection locked="0"/>
    </xf>
    <xf numFmtId="38" fontId="5" fillId="4" borderId="27" xfId="1" applyFont="1" applyFill="1" applyBorder="1" applyAlignment="1" applyProtection="1">
      <alignment horizontal="right" vertical="center"/>
      <protection locked="0"/>
    </xf>
    <xf numFmtId="38" fontId="5" fillId="4" borderId="14" xfId="1" applyFont="1" applyFill="1" applyBorder="1" applyAlignment="1" applyProtection="1">
      <alignment horizontal="right" vertical="center"/>
      <protection locked="0"/>
    </xf>
    <xf numFmtId="38" fontId="0" fillId="0" borderId="16" xfId="0" applyNumberFormat="1" applyFont="1" applyBorder="1" applyAlignment="1" applyProtection="1">
      <alignment horizontal="right" vertical="center"/>
    </xf>
    <xf numFmtId="0" fontId="9" fillId="0" borderId="28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vertical="center"/>
    </xf>
    <xf numFmtId="0" fontId="9" fillId="0" borderId="12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0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38" fontId="13" fillId="0" borderId="29" xfId="1" applyFont="1" applyFill="1" applyBorder="1" applyAlignment="1" applyProtection="1">
      <alignment horizontal="center" vertical="center"/>
    </xf>
    <xf numFmtId="38" fontId="13" fillId="0" borderId="16" xfId="1" applyFont="1" applyFill="1" applyBorder="1" applyAlignment="1" applyProtection="1">
      <alignment horizontal="center" vertical="center"/>
    </xf>
    <xf numFmtId="0" fontId="0" fillId="2" borderId="30" xfId="0" applyFill="1" applyBorder="1">
      <alignment vertical="center"/>
    </xf>
    <xf numFmtId="0" fontId="14" fillId="2" borderId="31" xfId="0" applyFont="1" applyFill="1" applyBorder="1" applyAlignment="1">
      <alignment horizontal="right" vertical="center"/>
    </xf>
    <xf numFmtId="0" fontId="0" fillId="0" borderId="31" xfId="0" applyBorder="1">
      <alignment vertical="center"/>
    </xf>
    <xf numFmtId="0" fontId="2" fillId="3" borderId="31" xfId="0" applyFont="1" applyFill="1" applyBorder="1">
      <alignment vertical="center"/>
    </xf>
    <xf numFmtId="0" fontId="2" fillId="0" borderId="31" xfId="0" applyFont="1" applyFill="1" applyBorder="1">
      <alignment vertical="center"/>
    </xf>
    <xf numFmtId="0" fontId="3" fillId="3" borderId="31" xfId="0" applyFont="1" applyFill="1" applyBorder="1">
      <alignment vertical="center"/>
    </xf>
    <xf numFmtId="0" fontId="0" fillId="0" borderId="31" xfId="0" applyBorder="1" applyProtection="1">
      <alignment vertical="center"/>
    </xf>
    <xf numFmtId="0" fontId="3" fillId="0" borderId="31" xfId="0" applyFont="1" applyBorder="1" applyProtection="1">
      <alignment vertical="center"/>
    </xf>
    <xf numFmtId="0" fontId="0" fillId="0" borderId="32" xfId="0" applyBorder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>
      <alignment vertical="center"/>
    </xf>
    <xf numFmtId="0" fontId="16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16" fillId="0" borderId="0" xfId="0" applyFont="1" applyProtection="1">
      <alignment vertical="center"/>
    </xf>
    <xf numFmtId="0" fontId="17" fillId="0" borderId="33" xfId="0" applyFont="1" applyBorder="1" applyAlignment="1" applyProtection="1">
      <alignment horizontal="center" vertical="center"/>
    </xf>
    <xf numFmtId="0" fontId="17" fillId="0" borderId="34" xfId="0" applyFont="1" applyBorder="1" applyAlignment="1" applyProtection="1">
      <alignment horizontal="center" vertical="center"/>
    </xf>
    <xf numFmtId="0" fontId="17" fillId="0" borderId="35" xfId="0" applyFont="1" applyBorder="1" applyAlignment="1" applyProtection="1">
      <alignment horizontal="center" vertical="center"/>
    </xf>
    <xf numFmtId="0" fontId="17" fillId="0" borderId="36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0" fillId="0" borderId="0" xfId="0" applyAlignment="1"/>
    <xf numFmtId="0" fontId="14" fillId="0" borderId="5" xfId="0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vertical="top" wrapText="1"/>
    </xf>
    <xf numFmtId="0" fontId="17" fillId="0" borderId="38" xfId="0" applyFont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 wrapText="1"/>
    </xf>
    <xf numFmtId="0" fontId="18" fillId="0" borderId="40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18" fillId="0" borderId="42" xfId="0" applyFont="1" applyBorder="1" applyAlignment="1" applyProtection="1">
      <alignment horizontal="center" vertical="center"/>
    </xf>
    <xf numFmtId="0" fontId="0" fillId="0" borderId="30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31" xfId="0" applyFont="1" applyBorder="1" applyAlignment="1">
      <alignment vertical="top" wrapText="1"/>
    </xf>
    <xf numFmtId="0" fontId="18" fillId="0" borderId="42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0" fillId="6" borderId="5" xfId="0" applyFill="1" applyBorder="1">
      <alignment vertical="center"/>
    </xf>
    <xf numFmtId="0" fontId="0" fillId="7" borderId="5" xfId="0" applyFill="1" applyBorder="1">
      <alignment vertical="center"/>
    </xf>
    <xf numFmtId="38" fontId="0" fillId="0" borderId="5" xfId="1" applyFont="1" applyBorder="1">
      <alignment vertical="center"/>
    </xf>
    <xf numFmtId="38" fontId="0" fillId="0" borderId="0" xfId="1" applyFont="1">
      <alignment vertical="center"/>
    </xf>
    <xf numFmtId="0" fontId="0" fillId="0" borderId="5" xfId="0" applyBorder="1" applyAlignment="1">
      <alignment horizontal="right" vertical="center"/>
    </xf>
    <xf numFmtId="0" fontId="16" fillId="2" borderId="1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0" fontId="15" fillId="0" borderId="8" xfId="2" applyNumberFormat="1" applyFont="1" applyBorder="1" applyAlignment="1">
      <alignment horizontal="center" vertical="center"/>
    </xf>
    <xf numFmtId="38" fontId="0" fillId="0" borderId="10" xfId="1" applyFont="1" applyBorder="1">
      <alignment vertical="center"/>
    </xf>
    <xf numFmtId="38" fontId="15" fillId="7" borderId="10" xfId="1" applyFont="1" applyFill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16" fillId="0" borderId="1" xfId="1" applyFont="1" applyBorder="1" applyAlignment="1">
      <alignment horizontal="right" vertical="center"/>
    </xf>
    <xf numFmtId="38" fontId="16" fillId="0" borderId="3" xfId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8" fontId="15" fillId="6" borderId="5" xfId="1" applyFont="1" applyFill="1" applyBorder="1">
      <alignment vertical="center"/>
    </xf>
    <xf numFmtId="0" fontId="0" fillId="0" borderId="6" xfId="0" applyFont="1" applyBorder="1" applyAlignment="1">
      <alignment horizontal="center" vertical="center" wrapText="1"/>
    </xf>
    <xf numFmtId="14" fontId="0" fillId="6" borderId="6" xfId="0" applyNumberFormat="1" applyFont="1" applyFill="1" applyBorder="1" applyAlignment="1">
      <alignment horizontal="center" vertical="center"/>
    </xf>
    <xf numFmtId="0" fontId="0" fillId="6" borderId="43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6" fillId="2" borderId="14" xfId="0" applyFont="1" applyFill="1" applyBorder="1" applyAlignment="1">
      <alignment horizontal="center" vertical="center"/>
    </xf>
    <xf numFmtId="38" fontId="15" fillId="0" borderId="8" xfId="1" applyFont="1" applyBorder="1" applyAlignment="1">
      <alignment horizontal="center" vertical="center"/>
    </xf>
    <xf numFmtId="38" fontId="0" fillId="0" borderId="26" xfId="1" applyFont="1" applyBorder="1" applyAlignment="1">
      <alignment horizontal="right" vertical="center"/>
    </xf>
    <xf numFmtId="38" fontId="16" fillId="0" borderId="30" xfId="1" applyFont="1" applyBorder="1" applyAlignment="1">
      <alignment horizontal="right" vertical="center"/>
    </xf>
    <xf numFmtId="38" fontId="16" fillId="0" borderId="32" xfId="1" applyFont="1" applyBorder="1" applyAlignment="1">
      <alignment horizontal="right" vertical="center"/>
    </xf>
    <xf numFmtId="38" fontId="0" fillId="0" borderId="0" xfId="0" applyNumberFormat="1" applyFont="1" applyBorder="1" applyAlignment="1">
      <alignment horizontal="right" vertical="center"/>
    </xf>
    <xf numFmtId="38" fontId="0" fillId="7" borderId="5" xfId="1" applyFont="1" applyFill="1" applyBorder="1">
      <alignment vertical="center"/>
    </xf>
    <xf numFmtId="0" fontId="16" fillId="2" borderId="16" xfId="0" applyFont="1" applyFill="1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45" xfId="1" applyFont="1" applyBorder="1">
      <alignment vertical="center"/>
    </xf>
    <xf numFmtId="0" fontId="0" fillId="0" borderId="0" xfId="0" applyAlignment="1">
      <alignment horizontal="left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16" fillId="8" borderId="16" xfId="0" applyFont="1" applyFill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16" fillId="5" borderId="11" xfId="0" applyFont="1" applyFill="1" applyBorder="1" applyAlignment="1">
      <alignment horizontal="center" vertical="center"/>
    </xf>
    <xf numFmtId="38" fontId="15" fillId="0" borderId="10" xfId="1" applyFont="1" applyBorder="1" applyAlignment="1">
      <alignment horizontal="right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38" fontId="0" fillId="0" borderId="29" xfId="1" applyFont="1" applyBorder="1">
      <alignment vertical="center"/>
    </xf>
    <xf numFmtId="38" fontId="15" fillId="0" borderId="29" xfId="1" applyFont="1" applyBorder="1" applyAlignment="1">
      <alignment horizontal="right" vertical="center"/>
    </xf>
    <xf numFmtId="0" fontId="20" fillId="0" borderId="0" xfId="0" applyFo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0" fillId="0" borderId="5" xfId="1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5" fillId="0" borderId="5" xfId="1" applyFont="1" applyBorder="1">
      <alignment vertical="center"/>
    </xf>
    <xf numFmtId="0" fontId="15" fillId="0" borderId="5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38" fontId="20" fillId="0" borderId="5" xfId="1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9" borderId="5" xfId="0" applyFill="1" applyBorder="1">
      <alignment vertical="center"/>
    </xf>
    <xf numFmtId="0" fontId="0" fillId="5" borderId="5" xfId="0" applyFill="1" applyBorder="1">
      <alignment vertical="center"/>
    </xf>
    <xf numFmtId="0" fontId="0" fillId="0" borderId="5" xfId="0" applyFont="1" applyBorder="1" applyAlignment="1">
      <alignment vertical="center"/>
    </xf>
    <xf numFmtId="38" fontId="17" fillId="0" borderId="5" xfId="0" applyNumberFormat="1" applyFont="1" applyBorder="1" applyAlignment="1">
      <alignment horizontal="center" vertical="center"/>
    </xf>
    <xf numFmtId="38" fontId="0" fillId="0" borderId="5" xfId="1" applyFont="1" applyBorder="1" applyAlignment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colors>
    <mruColors>
      <color rgb="FF00FF12"/>
      <color rgb="FF0027C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jpg" /><Relationship Id="rId5" Type="http://schemas.openxmlformats.org/officeDocument/2006/relationships/image" Target="../media/image5.jpg" /><Relationship Id="rId6" Type="http://schemas.openxmlformats.org/officeDocument/2006/relationships/image" Target="../media/image6.png" /><Relationship Id="rId7" Type="http://schemas.openxmlformats.org/officeDocument/2006/relationships/image" Target="../media/image7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38</xdr:col>
      <xdr:colOff>96520</xdr:colOff>
      <xdr:row>5</xdr:row>
      <xdr:rowOff>75565</xdr:rowOff>
    </xdr:from>
    <xdr:to xmlns:xdr="http://schemas.openxmlformats.org/drawingml/2006/spreadsheetDrawing">
      <xdr:col>43</xdr:col>
      <xdr:colOff>486410</xdr:colOff>
      <xdr:row>25</xdr:row>
      <xdr:rowOff>110490</xdr:rowOff>
    </xdr:to>
    <xdr:pic macro="">
      <xdr:nvPicPr>
        <xdr:cNvPr id="17" name="図 15"/>
        <xdr:cNvPicPr>
          <a:picLocks noChangeAspect="1"/>
        </xdr:cNvPicPr>
      </xdr:nvPicPr>
      <xdr:blipFill>
        <a:blip xmlns:r="http://schemas.openxmlformats.org/officeDocument/2006/relationships" r:embed="rId1"/>
        <a:srcRect l="8345" t="15082" r="71176" b="18697"/>
        <a:stretch>
          <a:fillRect/>
        </a:stretch>
      </xdr:blipFill>
      <xdr:spPr>
        <a:xfrm>
          <a:off x="21678265" y="1149985"/>
          <a:ext cx="3818890" cy="3755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32</xdr:col>
      <xdr:colOff>98425</xdr:colOff>
      <xdr:row>5</xdr:row>
      <xdr:rowOff>79375</xdr:rowOff>
    </xdr:from>
    <xdr:to xmlns:xdr="http://schemas.openxmlformats.org/drawingml/2006/spreadsheetDrawing">
      <xdr:col>38</xdr:col>
      <xdr:colOff>40640</xdr:colOff>
      <xdr:row>25</xdr:row>
      <xdr:rowOff>106045</xdr:rowOff>
    </xdr:to>
    <xdr:pic macro="">
      <xdr:nvPicPr>
        <xdr:cNvPr id="19" name="図 17"/>
        <xdr:cNvPicPr>
          <a:picLocks noChangeAspect="1"/>
        </xdr:cNvPicPr>
      </xdr:nvPicPr>
      <xdr:blipFill>
        <a:blip xmlns:r="http://schemas.openxmlformats.org/officeDocument/2006/relationships" r:embed="rId2"/>
        <a:srcRect l="7265" t="14883" r="72421" b="19753"/>
        <a:stretch>
          <a:fillRect/>
        </a:stretch>
      </xdr:blipFill>
      <xdr:spPr>
        <a:xfrm>
          <a:off x="17717770" y="1153795"/>
          <a:ext cx="3904615" cy="3747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18</xdr:col>
      <xdr:colOff>132715</xdr:colOff>
      <xdr:row>5</xdr:row>
      <xdr:rowOff>76835</xdr:rowOff>
    </xdr:from>
    <xdr:to xmlns:xdr="http://schemas.openxmlformats.org/drawingml/2006/spreadsheetDrawing">
      <xdr:col>24</xdr:col>
      <xdr:colOff>374650</xdr:colOff>
      <xdr:row>15</xdr:row>
      <xdr:rowOff>73660</xdr:rowOff>
    </xdr:to>
    <xdr:pic macro="">
      <xdr:nvPicPr>
        <xdr:cNvPr id="14" name="図 12"/>
        <xdr:cNvPicPr>
          <a:picLocks noChangeAspect="1"/>
        </xdr:cNvPicPr>
      </xdr:nvPicPr>
      <xdr:blipFill>
        <a:blip xmlns:r="http://schemas.openxmlformats.org/officeDocument/2006/relationships" r:embed="rId3"/>
        <a:srcRect l="4065" t="17358" r="68250" b="40332"/>
        <a:stretch>
          <a:fillRect/>
        </a:stretch>
      </xdr:blipFill>
      <xdr:spPr>
        <a:xfrm>
          <a:off x="9217660" y="1151255"/>
          <a:ext cx="3899535" cy="1812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</xdr:col>
      <xdr:colOff>0</xdr:colOff>
      <xdr:row>16</xdr:row>
      <xdr:rowOff>90170</xdr:rowOff>
    </xdr:from>
    <xdr:to xmlns:xdr="http://schemas.openxmlformats.org/drawingml/2006/spreadsheetDrawing">
      <xdr:col>15</xdr:col>
      <xdr:colOff>130810</xdr:colOff>
      <xdr:row>23</xdr:row>
      <xdr:rowOff>67945</xdr:rowOff>
    </xdr:to>
    <xdr:sp macro="" textlink="">
      <xdr:nvSpPr>
        <xdr:cNvPr id="3" name="図形 2"/>
        <xdr:cNvSpPr/>
      </xdr:nvSpPr>
      <xdr:spPr>
        <a:xfrm>
          <a:off x="202565" y="3170555"/>
          <a:ext cx="7262495" cy="1311275"/>
        </a:xfrm>
        <a:prstGeom prst="roundRect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269240</xdr:colOff>
      <xdr:row>34</xdr:row>
      <xdr:rowOff>89535</xdr:rowOff>
    </xdr:from>
    <xdr:to xmlns:xdr="http://schemas.openxmlformats.org/drawingml/2006/spreadsheetDrawing">
      <xdr:col>7</xdr:col>
      <xdr:colOff>525780</xdr:colOff>
      <xdr:row>34</xdr:row>
      <xdr:rowOff>199390</xdr:rowOff>
    </xdr:to>
    <xdr:sp macro="" textlink="">
      <xdr:nvSpPr>
        <xdr:cNvPr id="4" name="図形 3"/>
        <xdr:cNvSpPr/>
      </xdr:nvSpPr>
      <xdr:spPr>
        <a:xfrm>
          <a:off x="3188335" y="7867650"/>
          <a:ext cx="1127760" cy="109855"/>
        </a:xfrm>
        <a:prstGeom prst="flowChartMerge">
          <a:avLst/>
        </a:prstGeom>
        <a:ln w="25400" cap="flat" cmpd="sng" algn="ctr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238760</xdr:colOff>
      <xdr:row>44</xdr:row>
      <xdr:rowOff>96520</xdr:rowOff>
    </xdr:from>
    <xdr:to xmlns:xdr="http://schemas.openxmlformats.org/drawingml/2006/spreadsheetDrawing">
      <xdr:col>7</xdr:col>
      <xdr:colOff>525780</xdr:colOff>
      <xdr:row>44</xdr:row>
      <xdr:rowOff>204470</xdr:rowOff>
    </xdr:to>
    <xdr:sp macro="" textlink="">
      <xdr:nvSpPr>
        <xdr:cNvPr id="5" name="図形 4"/>
        <xdr:cNvSpPr/>
      </xdr:nvSpPr>
      <xdr:spPr>
        <a:xfrm>
          <a:off x="3157855" y="10404475"/>
          <a:ext cx="1158240" cy="1079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13</xdr:col>
      <xdr:colOff>434975</xdr:colOff>
      <xdr:row>2</xdr:row>
      <xdr:rowOff>77470</xdr:rowOff>
    </xdr:from>
    <xdr:to xmlns:xdr="http://schemas.openxmlformats.org/drawingml/2006/spreadsheetDrawing">
      <xdr:col>15</xdr:col>
      <xdr:colOff>242570</xdr:colOff>
      <xdr:row>6</xdr:row>
      <xdr:rowOff>80010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6715" y="648970"/>
          <a:ext cx="840105" cy="695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33020</xdr:colOff>
      <xdr:row>46</xdr:row>
      <xdr:rowOff>0</xdr:rowOff>
    </xdr:from>
    <xdr:to xmlns:xdr="http://schemas.openxmlformats.org/drawingml/2006/spreadsheetDrawing">
      <xdr:col>2</xdr:col>
      <xdr:colOff>353695</xdr:colOff>
      <xdr:row>50</xdr:row>
      <xdr:rowOff>267970</xdr:rowOff>
    </xdr:to>
    <xdr:pic macro=""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5"/>
        <a:srcRect b="4929"/>
        <a:stretch>
          <a:fillRect/>
        </a:stretch>
      </xdr:blipFill>
      <xdr:spPr>
        <a:xfrm>
          <a:off x="235585" y="10605135"/>
          <a:ext cx="1259840" cy="12052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32</xdr:col>
      <xdr:colOff>454025</xdr:colOff>
      <xdr:row>16</xdr:row>
      <xdr:rowOff>147955</xdr:rowOff>
    </xdr:from>
    <xdr:to xmlns:xdr="http://schemas.openxmlformats.org/drawingml/2006/spreadsheetDrawing">
      <xdr:col>35</xdr:col>
      <xdr:colOff>191135</xdr:colOff>
      <xdr:row>19</xdr:row>
      <xdr:rowOff>113030</xdr:rowOff>
    </xdr:to>
    <xdr:sp macro="" textlink="">
      <xdr:nvSpPr>
        <xdr:cNvPr id="9" name="四角形 7"/>
        <xdr:cNvSpPr/>
      </xdr:nvSpPr>
      <xdr:spPr>
        <a:xfrm>
          <a:off x="18073370" y="3228340"/>
          <a:ext cx="1642110" cy="53657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38</xdr:col>
      <xdr:colOff>416560</xdr:colOff>
      <xdr:row>17</xdr:row>
      <xdr:rowOff>105410</xdr:rowOff>
    </xdr:from>
    <xdr:to xmlns:xdr="http://schemas.openxmlformats.org/drawingml/2006/spreadsheetDrawing">
      <xdr:col>41</xdr:col>
      <xdr:colOff>10160</xdr:colOff>
      <xdr:row>23</xdr:row>
      <xdr:rowOff>15875</xdr:rowOff>
    </xdr:to>
    <xdr:sp macro="" textlink="">
      <xdr:nvSpPr>
        <xdr:cNvPr id="11" name="四角形 9"/>
        <xdr:cNvSpPr/>
      </xdr:nvSpPr>
      <xdr:spPr>
        <a:xfrm>
          <a:off x="21998305" y="3376295"/>
          <a:ext cx="1651000" cy="105346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19</xdr:col>
      <xdr:colOff>277495</xdr:colOff>
      <xdr:row>9</xdr:row>
      <xdr:rowOff>147955</xdr:rowOff>
    </xdr:from>
    <xdr:to xmlns:xdr="http://schemas.openxmlformats.org/drawingml/2006/spreadsheetDrawing">
      <xdr:col>20</xdr:col>
      <xdr:colOff>355600</xdr:colOff>
      <xdr:row>11</xdr:row>
      <xdr:rowOff>142240</xdr:rowOff>
    </xdr:to>
    <xdr:sp macro="" textlink="">
      <xdr:nvSpPr>
        <xdr:cNvPr id="13" name="四角形 11"/>
        <xdr:cNvSpPr/>
      </xdr:nvSpPr>
      <xdr:spPr>
        <a:xfrm>
          <a:off x="9972040" y="1894840"/>
          <a:ext cx="687705" cy="37528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25</xdr:col>
      <xdr:colOff>208915</xdr:colOff>
      <xdr:row>5</xdr:row>
      <xdr:rowOff>90170</xdr:rowOff>
    </xdr:from>
    <xdr:to xmlns:xdr="http://schemas.openxmlformats.org/drawingml/2006/spreadsheetDrawing">
      <xdr:col>31</xdr:col>
      <xdr:colOff>467360</xdr:colOff>
      <xdr:row>15</xdr:row>
      <xdr:rowOff>100965</xdr:rowOff>
    </xdr:to>
    <xdr:pic macro="">
      <xdr:nvPicPr>
        <xdr:cNvPr id="15" name="図 13"/>
        <xdr:cNvPicPr>
          <a:picLocks noChangeAspect="1"/>
        </xdr:cNvPicPr>
      </xdr:nvPicPr>
      <xdr:blipFill>
        <a:blip xmlns:r="http://schemas.openxmlformats.org/officeDocument/2006/relationships" r:embed="rId6"/>
        <a:srcRect l="6801" t="30159" r="63670" b="25211"/>
        <a:stretch>
          <a:fillRect/>
        </a:stretch>
      </xdr:blipFill>
      <xdr:spPr>
        <a:xfrm>
          <a:off x="13561060" y="1164590"/>
          <a:ext cx="3916045" cy="1826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26</xdr:col>
      <xdr:colOff>434975</xdr:colOff>
      <xdr:row>8</xdr:row>
      <xdr:rowOff>42545</xdr:rowOff>
    </xdr:from>
    <xdr:to xmlns:xdr="http://schemas.openxmlformats.org/drawingml/2006/spreadsheetDrawing">
      <xdr:col>29</xdr:col>
      <xdr:colOff>152400</xdr:colOff>
      <xdr:row>11</xdr:row>
      <xdr:rowOff>80645</xdr:rowOff>
    </xdr:to>
    <xdr:sp macro="" textlink="">
      <xdr:nvSpPr>
        <xdr:cNvPr id="16" name="四角形 14"/>
        <xdr:cNvSpPr/>
      </xdr:nvSpPr>
      <xdr:spPr>
        <a:xfrm>
          <a:off x="14396720" y="1667510"/>
          <a:ext cx="1546225" cy="54102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32</xdr:col>
      <xdr:colOff>452755</xdr:colOff>
      <xdr:row>20</xdr:row>
      <xdr:rowOff>91440</xdr:rowOff>
    </xdr:from>
    <xdr:to xmlns:xdr="http://schemas.openxmlformats.org/drawingml/2006/spreadsheetDrawing">
      <xdr:col>35</xdr:col>
      <xdr:colOff>190500</xdr:colOff>
      <xdr:row>21</xdr:row>
      <xdr:rowOff>136525</xdr:rowOff>
    </xdr:to>
    <xdr:sp macro="" textlink="">
      <xdr:nvSpPr>
        <xdr:cNvPr id="20" name="四角形 18"/>
        <xdr:cNvSpPr/>
      </xdr:nvSpPr>
      <xdr:spPr>
        <a:xfrm>
          <a:off x="18072100" y="3933825"/>
          <a:ext cx="1642745" cy="23558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32</xdr:col>
      <xdr:colOff>441325</xdr:colOff>
      <xdr:row>22</xdr:row>
      <xdr:rowOff>16510</xdr:rowOff>
    </xdr:from>
    <xdr:to xmlns:xdr="http://schemas.openxmlformats.org/drawingml/2006/spreadsheetDrawing">
      <xdr:col>35</xdr:col>
      <xdr:colOff>178435</xdr:colOff>
      <xdr:row>22</xdr:row>
      <xdr:rowOff>144780</xdr:rowOff>
    </xdr:to>
    <xdr:sp macro="" textlink="">
      <xdr:nvSpPr>
        <xdr:cNvPr id="21" name="四角形 19"/>
        <xdr:cNvSpPr/>
      </xdr:nvSpPr>
      <xdr:spPr>
        <a:xfrm>
          <a:off x="18060670" y="4239895"/>
          <a:ext cx="1642110" cy="12827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18</xdr:col>
      <xdr:colOff>237490</xdr:colOff>
      <xdr:row>17</xdr:row>
      <xdr:rowOff>181610</xdr:rowOff>
    </xdr:from>
    <xdr:to xmlns:xdr="http://schemas.openxmlformats.org/drawingml/2006/spreadsheetDrawing">
      <xdr:col>24</xdr:col>
      <xdr:colOff>392430</xdr:colOff>
      <xdr:row>25</xdr:row>
      <xdr:rowOff>133985</xdr:rowOff>
    </xdr:to>
    <xdr:pic macro="">
      <xdr:nvPicPr>
        <xdr:cNvPr id="22" name="図 20"/>
        <xdr:cNvPicPr>
          <a:picLocks noChangeAspect="1"/>
        </xdr:cNvPicPr>
      </xdr:nvPicPr>
      <xdr:blipFill>
        <a:blip xmlns:r="http://schemas.openxmlformats.org/officeDocument/2006/relationships" r:embed="rId7"/>
        <a:srcRect l="5151" t="18344" r="67329" b="46252"/>
        <a:stretch>
          <a:fillRect/>
        </a:stretch>
      </xdr:blipFill>
      <xdr:spPr>
        <a:xfrm>
          <a:off x="9322435" y="3452495"/>
          <a:ext cx="3812540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19</xdr:col>
      <xdr:colOff>12065</xdr:colOff>
      <xdr:row>23</xdr:row>
      <xdr:rowOff>87630</xdr:rowOff>
    </xdr:from>
    <xdr:to xmlns:xdr="http://schemas.openxmlformats.org/drawingml/2006/spreadsheetDrawing">
      <xdr:col>21</xdr:col>
      <xdr:colOff>348615</xdr:colOff>
      <xdr:row>24</xdr:row>
      <xdr:rowOff>29210</xdr:rowOff>
    </xdr:to>
    <xdr:sp macro="" textlink="">
      <xdr:nvSpPr>
        <xdr:cNvPr id="23" name="四角形 21"/>
        <xdr:cNvSpPr/>
      </xdr:nvSpPr>
      <xdr:spPr>
        <a:xfrm>
          <a:off x="9706610" y="4501515"/>
          <a:ext cx="1555750" cy="13208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25</xdr:col>
      <xdr:colOff>252095</xdr:colOff>
      <xdr:row>17</xdr:row>
      <xdr:rowOff>158115</xdr:rowOff>
    </xdr:from>
    <xdr:to xmlns:xdr="http://schemas.openxmlformats.org/drawingml/2006/spreadsheetDrawing">
      <xdr:col>31</xdr:col>
      <xdr:colOff>408940</xdr:colOff>
      <xdr:row>25</xdr:row>
      <xdr:rowOff>99060</xdr:rowOff>
    </xdr:to>
    <xdr:pic macro="">
      <xdr:nvPicPr>
        <xdr:cNvPr id="24" name="図 22"/>
        <xdr:cNvPicPr>
          <a:picLocks noChangeAspect="1"/>
        </xdr:cNvPicPr>
      </xdr:nvPicPr>
      <xdr:blipFill>
        <a:blip xmlns:r="http://schemas.openxmlformats.org/officeDocument/2006/relationships" r:embed="rId7"/>
        <a:srcRect l="5151" t="18344" r="67329" b="46275"/>
        <a:stretch>
          <a:fillRect/>
        </a:stretch>
      </xdr:blipFill>
      <xdr:spPr>
        <a:xfrm>
          <a:off x="13604240" y="3429000"/>
          <a:ext cx="3814445" cy="146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25</xdr:col>
      <xdr:colOff>548640</xdr:colOff>
      <xdr:row>23</xdr:row>
      <xdr:rowOff>186055</xdr:rowOff>
    </xdr:from>
    <xdr:to xmlns:xdr="http://schemas.openxmlformats.org/drawingml/2006/spreadsheetDrawing">
      <xdr:col>28</xdr:col>
      <xdr:colOff>172085</xdr:colOff>
      <xdr:row>24</xdr:row>
      <xdr:rowOff>132080</xdr:rowOff>
    </xdr:to>
    <xdr:sp macro="" textlink="">
      <xdr:nvSpPr>
        <xdr:cNvPr id="25" name="四角形 23"/>
        <xdr:cNvSpPr/>
      </xdr:nvSpPr>
      <xdr:spPr>
        <a:xfrm>
          <a:off x="13900785" y="4599940"/>
          <a:ext cx="1452245" cy="13652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R52"/>
  <sheetViews>
    <sheetView tabSelected="1" view="pageBreakPreview" zoomScale="85" zoomScaleNormal="70" zoomScaleSheetLayoutView="85" workbookViewId="0">
      <selection activeCell="G49" sqref="G49:I49"/>
    </sheetView>
  </sheetViews>
  <sheetFormatPr defaultRowHeight="13.5"/>
  <cols>
    <col min="1" max="1" width="2.6640625" customWidth="1"/>
    <col min="2" max="2" width="12.33203125" customWidth="1"/>
    <col min="3" max="6" width="7.77734375" customWidth="1"/>
    <col min="7" max="7" width="3.6640625" bestFit="1" customWidth="1"/>
    <col min="8" max="8" width="11.5546875" customWidth="1"/>
    <col min="9" max="9" width="3.6640625" customWidth="1"/>
    <col min="10" max="10" width="6.77734375" customWidth="1"/>
    <col min="11" max="13" width="3.6640625" bestFit="1" customWidth="1"/>
    <col min="14" max="15" width="6.77734375" customWidth="1"/>
    <col min="16" max="16" width="3.6640625" customWidth="1"/>
    <col min="17" max="17" width="5.44140625" customWidth="1"/>
    <col min="18" max="18" width="13.88671875" customWidth="1"/>
    <col min="19" max="34" width="8" customWidth="1"/>
    <col min="44" max="44" width="7.21875" customWidth="1"/>
  </cols>
  <sheetData>
    <row r="1" spans="1:44" ht="35.4" customHeight="1">
      <c r="A1" s="1"/>
      <c r="B1" s="8" t="s">
        <v>374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7"/>
      <c r="S1" s="97" t="s">
        <v>326</v>
      </c>
    </row>
    <row r="2" spans="1:44" ht="9.6" customHeight="1">
      <c r="A2" s="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77" t="s">
        <v>177</v>
      </c>
      <c r="O2" s="77"/>
      <c r="P2" s="77"/>
      <c r="Q2" s="88"/>
      <c r="S2" s="98" t="s">
        <v>6</v>
      </c>
      <c r="T2" s="110"/>
      <c r="U2" s="110"/>
      <c r="V2" s="110"/>
      <c r="W2" s="110"/>
      <c r="X2" s="110"/>
      <c r="Y2" s="119"/>
      <c r="Z2" s="98" t="s">
        <v>328</v>
      </c>
      <c r="AA2" s="110"/>
      <c r="AB2" s="110"/>
      <c r="AC2" s="110"/>
      <c r="AD2" s="110"/>
      <c r="AE2" s="110"/>
      <c r="AF2" s="119"/>
      <c r="AG2" s="98" t="s">
        <v>331</v>
      </c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9"/>
    </row>
    <row r="3" spans="1:44" ht="9.6" customHeight="1">
      <c r="A3" s="3"/>
      <c r="Q3" s="89"/>
      <c r="S3" s="99"/>
      <c r="T3" s="111"/>
      <c r="U3" s="111"/>
      <c r="V3" s="111"/>
      <c r="W3" s="111"/>
      <c r="X3" s="111"/>
      <c r="Y3" s="120"/>
      <c r="Z3" s="99"/>
      <c r="AA3" s="111"/>
      <c r="AB3" s="111"/>
      <c r="AC3" s="111"/>
      <c r="AD3" s="111"/>
      <c r="AE3" s="111"/>
      <c r="AF3" s="120"/>
      <c r="AG3" s="99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20"/>
    </row>
    <row r="4" spans="1:44" ht="15" customHeight="1">
      <c r="A4" s="3"/>
      <c r="B4" s="10" t="s">
        <v>195</v>
      </c>
      <c r="Q4" s="89"/>
      <c r="S4" s="99"/>
      <c r="T4" s="111"/>
      <c r="U4" s="111"/>
      <c r="V4" s="111"/>
      <c r="W4" s="111"/>
      <c r="X4" s="111"/>
      <c r="Y4" s="120"/>
      <c r="Z4" s="99"/>
      <c r="AA4" s="111"/>
      <c r="AB4" s="111"/>
      <c r="AC4" s="111"/>
      <c r="AD4" s="111"/>
      <c r="AE4" s="111"/>
      <c r="AF4" s="120"/>
      <c r="AG4" s="99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20"/>
    </row>
    <row r="5" spans="1:44" ht="15" customHeight="1">
      <c r="A5" s="3"/>
      <c r="B5" s="10" t="s">
        <v>94</v>
      </c>
      <c r="Q5" s="89"/>
      <c r="S5" s="99"/>
      <c r="T5" s="111"/>
      <c r="U5" s="111"/>
      <c r="V5" s="111"/>
      <c r="W5" s="111"/>
      <c r="X5" s="111"/>
      <c r="Y5" s="120"/>
      <c r="Z5" s="99"/>
      <c r="AA5" s="111"/>
      <c r="AB5" s="111"/>
      <c r="AC5" s="111"/>
      <c r="AD5" s="111"/>
      <c r="AE5" s="111"/>
      <c r="AF5" s="120"/>
      <c r="AG5" s="99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20"/>
    </row>
    <row r="6" spans="1:44" ht="15" customHeight="1">
      <c r="A6" s="3"/>
      <c r="B6" s="10" t="s">
        <v>92</v>
      </c>
      <c r="Q6" s="89"/>
      <c r="S6" s="99"/>
      <c r="T6" s="111"/>
      <c r="U6" s="111"/>
      <c r="V6" s="111"/>
      <c r="W6" s="111"/>
      <c r="X6" s="111"/>
      <c r="Y6" s="120"/>
      <c r="Z6" s="99"/>
      <c r="AA6" s="111"/>
      <c r="AB6" s="111"/>
      <c r="AC6" s="111"/>
      <c r="AD6" s="111"/>
      <c r="AE6" s="111"/>
      <c r="AF6" s="120"/>
      <c r="AG6" s="99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20"/>
    </row>
    <row r="7" spans="1:44" ht="9.6" customHeight="1">
      <c r="A7" s="3"/>
      <c r="Q7" s="89"/>
      <c r="S7" s="3"/>
      <c r="Y7" s="89"/>
      <c r="Z7" s="3"/>
      <c r="AF7" s="89"/>
      <c r="AG7" s="3"/>
      <c r="AR7" s="89"/>
    </row>
    <row r="8" spans="1:44" ht="18.75">
      <c r="A8" s="4"/>
      <c r="B8" s="11" t="s">
        <v>98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90"/>
      <c r="S8" s="3"/>
      <c r="Y8" s="89"/>
      <c r="Z8" s="3"/>
      <c r="AF8" s="89"/>
      <c r="AG8" s="3"/>
      <c r="AR8" s="89"/>
    </row>
    <row r="9" spans="1:44" ht="9.6" customHeight="1">
      <c r="A9" s="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91"/>
      <c r="S9" s="3"/>
      <c r="Y9" s="89"/>
      <c r="Z9" s="3"/>
      <c r="AF9" s="89"/>
      <c r="AG9" s="3"/>
      <c r="AR9" s="89"/>
    </row>
    <row r="10" spans="1:44" ht="15" customHeight="1">
      <c r="A10" s="3"/>
      <c r="B10" s="10" t="s">
        <v>324</v>
      </c>
      <c r="Q10" s="89"/>
      <c r="S10" s="3"/>
      <c r="Y10" s="89"/>
      <c r="Z10" s="3"/>
      <c r="AF10" s="89"/>
      <c r="AG10" s="3"/>
      <c r="AR10" s="89"/>
    </row>
    <row r="11" spans="1:44" ht="15" customHeight="1">
      <c r="A11" s="3"/>
      <c r="B11" s="10" t="s">
        <v>141</v>
      </c>
      <c r="Q11" s="89"/>
      <c r="S11" s="3"/>
      <c r="Y11" s="89"/>
      <c r="Z11" s="3"/>
      <c r="AF11" s="89"/>
      <c r="AG11" s="3"/>
      <c r="AR11" s="89"/>
    </row>
    <row r="12" spans="1:44" ht="15" customHeight="1">
      <c r="A12" s="3"/>
      <c r="B12" s="10" t="s">
        <v>102</v>
      </c>
      <c r="Q12" s="89"/>
      <c r="S12" s="3"/>
      <c r="Y12" s="89"/>
      <c r="Z12" s="3"/>
      <c r="AF12" s="89"/>
      <c r="AG12" s="3"/>
      <c r="AR12" s="89"/>
    </row>
    <row r="13" spans="1:44" ht="15" customHeight="1">
      <c r="A13" s="3"/>
      <c r="B13" s="10" t="s">
        <v>103</v>
      </c>
      <c r="Q13" s="89"/>
      <c r="S13" s="3"/>
      <c r="Y13" s="89"/>
      <c r="Z13" s="3"/>
      <c r="AF13" s="89"/>
      <c r="AG13" s="3"/>
      <c r="AR13" s="89"/>
    </row>
    <row r="14" spans="1:44" ht="15" customHeight="1">
      <c r="A14" s="3"/>
      <c r="B14" s="10" t="s">
        <v>106</v>
      </c>
      <c r="Q14" s="89"/>
      <c r="S14" s="3"/>
      <c r="Y14" s="89"/>
      <c r="Z14" s="3"/>
      <c r="AF14" s="89"/>
      <c r="AG14" s="3"/>
      <c r="AR14" s="89"/>
    </row>
    <row r="15" spans="1:44" ht="15" customHeight="1">
      <c r="A15" s="3"/>
      <c r="B15" s="10" t="s">
        <v>264</v>
      </c>
      <c r="Q15" s="89"/>
      <c r="S15" s="3"/>
      <c r="Y15" s="89"/>
      <c r="Z15" s="3"/>
      <c r="AF15" s="89"/>
      <c r="AG15" s="3"/>
      <c r="AR15" s="89"/>
    </row>
    <row r="16" spans="1:44" ht="15" customHeight="1">
      <c r="A16" s="3"/>
      <c r="B16" s="10" t="s">
        <v>332</v>
      </c>
      <c r="Q16" s="89"/>
      <c r="S16" s="3"/>
      <c r="Y16" s="89"/>
      <c r="Z16" s="3"/>
      <c r="AF16" s="89"/>
      <c r="AG16" s="3"/>
      <c r="AR16" s="89"/>
    </row>
    <row r="17" spans="1:44" ht="15" customHeight="1">
      <c r="A17" s="3"/>
      <c r="Q17" s="89"/>
      <c r="S17" s="99" t="s">
        <v>21</v>
      </c>
      <c r="T17" s="111"/>
      <c r="U17" s="111"/>
      <c r="V17" s="111"/>
      <c r="W17" s="111"/>
      <c r="X17" s="111"/>
      <c r="Y17" s="120"/>
      <c r="Z17" s="99" t="s">
        <v>329</v>
      </c>
      <c r="AA17" s="111"/>
      <c r="AB17" s="111"/>
      <c r="AC17" s="111"/>
      <c r="AD17" s="111"/>
      <c r="AE17" s="111"/>
      <c r="AF17" s="120"/>
      <c r="AG17" s="3"/>
      <c r="AR17" s="89"/>
    </row>
    <row r="18" spans="1:44" ht="15" customHeight="1">
      <c r="A18" s="3"/>
      <c r="B18" s="10" t="s">
        <v>105</v>
      </c>
      <c r="Q18" s="89"/>
      <c r="S18" s="99"/>
      <c r="T18" s="111"/>
      <c r="U18" s="111"/>
      <c r="V18" s="111"/>
      <c r="W18" s="111"/>
      <c r="X18" s="111"/>
      <c r="Y18" s="120"/>
      <c r="Z18" s="99"/>
      <c r="AA18" s="111"/>
      <c r="AB18" s="111"/>
      <c r="AC18" s="111"/>
      <c r="AD18" s="111"/>
      <c r="AE18" s="111"/>
      <c r="AF18" s="120"/>
      <c r="AG18" s="3"/>
      <c r="AR18" s="89"/>
    </row>
    <row r="19" spans="1:44" ht="15" customHeight="1">
      <c r="A19" s="3"/>
      <c r="B19" s="10" t="s">
        <v>352</v>
      </c>
      <c r="Q19" s="89"/>
      <c r="S19" s="100"/>
      <c r="T19" s="112"/>
      <c r="U19" s="112"/>
      <c r="V19" s="112"/>
      <c r="W19" s="112"/>
      <c r="X19" s="112"/>
      <c r="Y19" s="121"/>
      <c r="Z19" s="3"/>
      <c r="AF19" s="89"/>
      <c r="AG19" s="3"/>
      <c r="AR19" s="89"/>
    </row>
    <row r="20" spans="1:44" ht="15" customHeight="1">
      <c r="A20" s="3"/>
      <c r="B20" s="10" t="s">
        <v>109</v>
      </c>
      <c r="Q20" s="89"/>
      <c r="S20" s="100"/>
      <c r="T20" s="112"/>
      <c r="U20" s="112"/>
      <c r="V20" s="112"/>
      <c r="W20" s="112"/>
      <c r="X20" s="112"/>
      <c r="Y20" s="121"/>
      <c r="Z20" s="3"/>
      <c r="AF20" s="89"/>
      <c r="AG20" s="3"/>
      <c r="AR20" s="89"/>
    </row>
    <row r="21" spans="1:44" ht="15" customHeight="1">
      <c r="A21" s="3"/>
      <c r="B21" t="s">
        <v>321</v>
      </c>
      <c r="Q21" s="89"/>
      <c r="S21" s="3"/>
      <c r="Y21" s="89"/>
      <c r="Z21" s="3"/>
      <c r="AF21" s="89"/>
      <c r="AG21" s="3"/>
      <c r="AR21" s="89"/>
    </row>
    <row r="22" spans="1:44" ht="15" customHeight="1">
      <c r="A22" s="3"/>
      <c r="B22" s="10" t="s">
        <v>108</v>
      </c>
      <c r="Q22" s="89"/>
      <c r="S22" s="3"/>
      <c r="Y22" s="89"/>
      <c r="Z22" s="3"/>
      <c r="AF22" s="89"/>
      <c r="AG22" s="3"/>
      <c r="AR22" s="89"/>
    </row>
    <row r="23" spans="1:44" ht="15" customHeight="1">
      <c r="A23" s="3"/>
      <c r="B23" s="10" t="s">
        <v>110</v>
      </c>
      <c r="Q23" s="89"/>
      <c r="S23" s="3"/>
      <c r="Y23" s="89"/>
      <c r="Z23" s="3"/>
      <c r="AF23" s="89"/>
      <c r="AG23" s="3"/>
      <c r="AR23" s="89"/>
    </row>
    <row r="24" spans="1:44" ht="15" customHeight="1">
      <c r="A24" s="3"/>
      <c r="Q24" s="89"/>
      <c r="S24" s="3"/>
      <c r="Y24" s="89"/>
      <c r="Z24" s="3"/>
      <c r="AF24" s="89"/>
      <c r="AG24" s="3"/>
      <c r="AR24" s="89"/>
    </row>
    <row r="25" spans="1:44" ht="15" customHeight="1">
      <c r="A25" s="6"/>
      <c r="B25" s="11" t="s">
        <v>111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92"/>
      <c r="S25" s="3"/>
      <c r="Y25" s="89"/>
      <c r="Z25" s="3"/>
      <c r="AF25" s="89"/>
      <c r="AG25" s="3"/>
      <c r="AR25" s="89"/>
    </row>
    <row r="26" spans="1:44" ht="14.25">
      <c r="A26" s="3"/>
      <c r="Q26" s="89"/>
      <c r="S26" s="7"/>
      <c r="T26" s="21"/>
      <c r="U26" s="21"/>
      <c r="V26" s="21"/>
      <c r="W26" s="21"/>
      <c r="X26" s="21"/>
      <c r="Y26" s="95"/>
      <c r="Z26" s="7"/>
      <c r="AA26" s="21"/>
      <c r="AB26" s="21"/>
      <c r="AC26" s="21"/>
      <c r="AD26" s="21"/>
      <c r="AE26" s="21"/>
      <c r="AF26" s="95"/>
      <c r="AG26" s="7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95"/>
    </row>
    <row r="27" spans="1:44" ht="18.600000000000001" customHeight="1">
      <c r="A27" s="3"/>
      <c r="B27" s="13"/>
      <c r="C27" s="13" t="s">
        <v>0</v>
      </c>
      <c r="D27" s="25" t="s">
        <v>2</v>
      </c>
      <c r="E27" s="37"/>
      <c r="F27" s="44"/>
      <c r="G27" s="45" t="s">
        <v>25</v>
      </c>
      <c r="H27" s="50"/>
      <c r="I27" s="57"/>
      <c r="J27" s="45" t="s">
        <v>27</v>
      </c>
      <c r="K27" s="50"/>
      <c r="L27" s="50"/>
      <c r="M27" s="57"/>
      <c r="N27" s="78" t="s">
        <v>325</v>
      </c>
      <c r="O27" s="81"/>
      <c r="P27" s="83"/>
      <c r="Q27" s="93"/>
    </row>
    <row r="28" spans="1:44" ht="44.25" customHeight="1">
      <c r="A28" s="3"/>
      <c r="B28" s="14"/>
      <c r="C28" s="14"/>
      <c r="D28" s="26" t="s">
        <v>132</v>
      </c>
      <c r="E28" s="14" t="s">
        <v>8</v>
      </c>
      <c r="F28" s="14" t="s">
        <v>7</v>
      </c>
      <c r="G28" s="46"/>
      <c r="H28" s="19"/>
      <c r="I28" s="58"/>
      <c r="J28" s="46"/>
      <c r="K28" s="19"/>
      <c r="L28" s="19"/>
      <c r="M28" s="58"/>
      <c r="N28" s="79"/>
      <c r="O28" s="82"/>
      <c r="P28" s="84"/>
      <c r="Q28" s="93"/>
      <c r="R28" s="18"/>
      <c r="S28" s="101" t="s">
        <v>135</v>
      </c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44" ht="34.799999999999997" customHeight="1">
      <c r="A29" s="3"/>
      <c r="B29" s="15" t="s">
        <v>9</v>
      </c>
      <c r="C29" s="23"/>
      <c r="D29" s="27"/>
      <c r="E29" s="27"/>
      <c r="F29" s="27"/>
      <c r="G29" s="47"/>
      <c r="H29" s="53"/>
      <c r="I29" s="59"/>
      <c r="J29" s="47"/>
      <c r="K29" s="67"/>
      <c r="L29" s="53"/>
      <c r="M29" s="59" t="s">
        <v>131</v>
      </c>
      <c r="N29" s="47"/>
      <c r="O29" s="53"/>
      <c r="P29" s="85" t="s">
        <v>131</v>
      </c>
      <c r="Q29" s="94" t="str">
        <f>IF(D29="","年齢未入力","")</f>
        <v>年齢未入力</v>
      </c>
      <c r="R29" s="96" t="str">
        <f>IF(AND(計算シート!C13&lt;&gt;"",C29=""),"加入未入力",IF(OR(C29="○",C29="×"),IF(計算シート!C13="","年齢未入力",""),""))</f>
        <v/>
      </c>
      <c r="S29" s="102" t="s">
        <v>138</v>
      </c>
      <c r="T29" s="113" t="s">
        <v>139</v>
      </c>
      <c r="U29" s="102" t="s">
        <v>138</v>
      </c>
      <c r="V29" s="113" t="s">
        <v>139</v>
      </c>
      <c r="W29" s="102" t="s">
        <v>138</v>
      </c>
      <c r="X29" s="113" t="s">
        <v>139</v>
      </c>
      <c r="Y29" s="102" t="s">
        <v>138</v>
      </c>
      <c r="Z29" s="113" t="s">
        <v>139</v>
      </c>
      <c r="AA29" s="102" t="s">
        <v>138</v>
      </c>
      <c r="AB29" s="113" t="s">
        <v>139</v>
      </c>
      <c r="AC29" s="102" t="s">
        <v>138</v>
      </c>
      <c r="AD29" s="113" t="s">
        <v>139</v>
      </c>
      <c r="AE29" s="102" t="s">
        <v>138</v>
      </c>
      <c r="AF29" s="113" t="s">
        <v>139</v>
      </c>
      <c r="AG29" s="102" t="s">
        <v>138</v>
      </c>
      <c r="AH29" s="113" t="s">
        <v>139</v>
      </c>
    </row>
    <row r="30" spans="1:44" ht="24.6" customHeight="1">
      <c r="A30" s="3"/>
      <c r="B30" s="16" t="s">
        <v>11</v>
      </c>
      <c r="C30" s="24"/>
      <c r="D30" s="28"/>
      <c r="E30" s="28"/>
      <c r="F30" s="28"/>
      <c r="G30" s="48"/>
      <c r="H30" s="54"/>
      <c r="I30" s="60" t="s">
        <v>131</v>
      </c>
      <c r="J30" s="48"/>
      <c r="K30" s="68"/>
      <c r="L30" s="54"/>
      <c r="M30" s="60" t="s">
        <v>131</v>
      </c>
      <c r="N30" s="48"/>
      <c r="O30" s="54"/>
      <c r="P30" s="60" t="s">
        <v>131</v>
      </c>
      <c r="Q30" s="94" t="str">
        <f>IF(D30="","年齢未入力","")</f>
        <v>年齢未入力</v>
      </c>
      <c r="R30" s="96" t="str">
        <f>IF(AND(計算シート!C14&lt;&gt;"",C30=""),"加入未入力",IF(C30="○",IF(計算シート!C14="","年齢未入力",""),""))</f>
        <v/>
      </c>
      <c r="S30" s="103" t="s">
        <v>140</v>
      </c>
      <c r="T30" s="114" t="s">
        <v>107</v>
      </c>
      <c r="U30" s="103" t="s">
        <v>160</v>
      </c>
      <c r="V30" s="114" t="s">
        <v>55</v>
      </c>
      <c r="W30" s="103" t="s">
        <v>209</v>
      </c>
      <c r="X30" s="114" t="s">
        <v>211</v>
      </c>
      <c r="Y30" s="103" t="s">
        <v>152</v>
      </c>
      <c r="Z30" s="114" t="s">
        <v>104</v>
      </c>
      <c r="AA30" s="103" t="s">
        <v>270</v>
      </c>
      <c r="AB30" s="114" t="s">
        <v>14</v>
      </c>
      <c r="AC30" s="103" t="s">
        <v>294</v>
      </c>
      <c r="AD30" s="114" t="s">
        <v>233</v>
      </c>
      <c r="AE30" s="103" t="s">
        <v>306</v>
      </c>
      <c r="AF30" s="114" t="s">
        <v>207</v>
      </c>
      <c r="AG30" s="103" t="s">
        <v>318</v>
      </c>
      <c r="AH30" s="114" t="s">
        <v>210</v>
      </c>
    </row>
    <row r="31" spans="1:44" ht="24.6" customHeight="1">
      <c r="A31" s="3"/>
      <c r="B31" s="17" t="s">
        <v>12</v>
      </c>
      <c r="C31" s="24"/>
      <c r="D31" s="28"/>
      <c r="E31" s="28"/>
      <c r="F31" s="28"/>
      <c r="G31" s="49"/>
      <c r="H31" s="55"/>
      <c r="I31" s="61" t="s">
        <v>131</v>
      </c>
      <c r="J31" s="49"/>
      <c r="K31" s="69"/>
      <c r="L31" s="55"/>
      <c r="M31" s="60" t="s">
        <v>131</v>
      </c>
      <c r="N31" s="49"/>
      <c r="O31" s="55"/>
      <c r="P31" s="61" t="s">
        <v>131</v>
      </c>
      <c r="Q31" s="94"/>
      <c r="R31" s="96" t="str">
        <f>IF(AND(計算シート!C15&lt;&gt;"",C31=""),"加入未入力",IF(C31="○",IF(計算シート!C15="","年齢未入力",""),""))</f>
        <v/>
      </c>
      <c r="S31" s="103" t="s">
        <v>142</v>
      </c>
      <c r="T31" s="114" t="s">
        <v>166</v>
      </c>
      <c r="U31" s="103" t="s">
        <v>182</v>
      </c>
      <c r="V31" s="114" t="s">
        <v>193</v>
      </c>
      <c r="W31" s="103" t="s">
        <v>99</v>
      </c>
      <c r="X31" s="114" t="s">
        <v>224</v>
      </c>
      <c r="Y31" s="103" t="s">
        <v>126</v>
      </c>
      <c r="Z31" s="114" t="s">
        <v>251</v>
      </c>
      <c r="AA31" s="103" t="s">
        <v>271</v>
      </c>
      <c r="AB31" s="114" t="s">
        <v>283</v>
      </c>
      <c r="AC31" s="103" t="s">
        <v>190</v>
      </c>
      <c r="AD31" s="114" t="s">
        <v>301</v>
      </c>
      <c r="AE31" s="103" t="s">
        <v>192</v>
      </c>
      <c r="AF31" s="114" t="s">
        <v>146</v>
      </c>
      <c r="AG31" s="103" t="s">
        <v>273</v>
      </c>
      <c r="AH31" s="114" t="s">
        <v>322</v>
      </c>
    </row>
    <row r="32" spans="1:44" ht="24.6" customHeight="1">
      <c r="A32" s="3"/>
      <c r="B32" s="17" t="s">
        <v>15</v>
      </c>
      <c r="C32" s="24"/>
      <c r="D32" s="28"/>
      <c r="E32" s="28"/>
      <c r="F32" s="28"/>
      <c r="G32" s="49"/>
      <c r="H32" s="55"/>
      <c r="I32" s="61" t="s">
        <v>131</v>
      </c>
      <c r="J32" s="49"/>
      <c r="K32" s="69"/>
      <c r="L32" s="55"/>
      <c r="M32" s="61" t="s">
        <v>131</v>
      </c>
      <c r="N32" s="49"/>
      <c r="O32" s="55"/>
      <c r="P32" s="61" t="s">
        <v>131</v>
      </c>
      <c r="Q32" s="94"/>
      <c r="R32" s="96" t="str">
        <f>IF(AND(計算シート!C16&lt;&gt;"",C32=""),"加入未入力",IF(C32="○",IF(計算シート!C16="","年齢未入力",""),""))</f>
        <v/>
      </c>
      <c r="S32" s="103" t="s">
        <v>143</v>
      </c>
      <c r="T32" s="114" t="s">
        <v>167</v>
      </c>
      <c r="U32" s="103" t="s">
        <v>183</v>
      </c>
      <c r="V32" s="114" t="s">
        <v>196</v>
      </c>
      <c r="W32" s="103" t="s">
        <v>213</v>
      </c>
      <c r="X32" s="114" t="s">
        <v>225</v>
      </c>
      <c r="Y32" s="103" t="s">
        <v>238</v>
      </c>
      <c r="Z32" s="114" t="s">
        <v>223</v>
      </c>
      <c r="AA32" s="103" t="s">
        <v>272</v>
      </c>
      <c r="AB32" s="114" t="s">
        <v>285</v>
      </c>
      <c r="AC32" s="103" t="s">
        <v>169</v>
      </c>
      <c r="AD32" s="114" t="s">
        <v>4</v>
      </c>
      <c r="AE32" s="103" t="s">
        <v>307</v>
      </c>
      <c r="AF32" s="114" t="s">
        <v>313</v>
      </c>
      <c r="AG32" s="103" t="s">
        <v>320</v>
      </c>
      <c r="AH32" s="114" t="s">
        <v>323</v>
      </c>
    </row>
    <row r="33" spans="1:34" ht="24.6" customHeight="1">
      <c r="A33" s="3"/>
      <c r="B33" s="17" t="s">
        <v>10</v>
      </c>
      <c r="C33" s="24"/>
      <c r="D33" s="28"/>
      <c r="E33" s="28"/>
      <c r="F33" s="28"/>
      <c r="G33" s="49"/>
      <c r="H33" s="55"/>
      <c r="I33" s="61" t="s">
        <v>131</v>
      </c>
      <c r="J33" s="49"/>
      <c r="K33" s="69"/>
      <c r="L33" s="55"/>
      <c r="M33" s="61" t="s">
        <v>131</v>
      </c>
      <c r="N33" s="49"/>
      <c r="O33" s="55"/>
      <c r="P33" s="61" t="s">
        <v>131</v>
      </c>
      <c r="Q33" s="94"/>
      <c r="R33" s="96" t="str">
        <f>IF(AND(計算シート!C17&lt;&gt;"",C33=""),"加入未入力",IF(C33="○",IF(計算シート!C17="","年齢未入力",""),""))</f>
        <v/>
      </c>
      <c r="S33" s="103" t="s">
        <v>144</v>
      </c>
      <c r="T33" s="114" t="s">
        <v>136</v>
      </c>
      <c r="U33" s="103" t="s">
        <v>38</v>
      </c>
      <c r="V33" s="114" t="s">
        <v>155</v>
      </c>
      <c r="W33" s="103" t="s">
        <v>214</v>
      </c>
      <c r="X33" s="114" t="s">
        <v>226</v>
      </c>
      <c r="Y33" s="103" t="s">
        <v>240</v>
      </c>
      <c r="Z33" s="114" t="s">
        <v>252</v>
      </c>
      <c r="AA33" s="103" t="s">
        <v>268</v>
      </c>
      <c r="AB33" s="114" t="s">
        <v>159</v>
      </c>
      <c r="AC33" s="103" t="s">
        <v>124</v>
      </c>
      <c r="AD33" s="114" t="s">
        <v>303</v>
      </c>
      <c r="AE33" s="103" t="s">
        <v>100</v>
      </c>
      <c r="AF33" s="114" t="s">
        <v>275</v>
      </c>
      <c r="AG33" s="103" t="s">
        <v>370</v>
      </c>
      <c r="AH33" s="114" t="s">
        <v>372</v>
      </c>
    </row>
    <row r="34" spans="1:34" ht="24.6" customHeight="1">
      <c r="A34" s="3"/>
      <c r="B34" s="17" t="s">
        <v>22</v>
      </c>
      <c r="C34" s="24"/>
      <c r="D34" s="28"/>
      <c r="E34" s="28"/>
      <c r="F34" s="28"/>
      <c r="G34" s="49"/>
      <c r="H34" s="55"/>
      <c r="I34" s="61" t="s">
        <v>131</v>
      </c>
      <c r="J34" s="49"/>
      <c r="K34" s="69"/>
      <c r="L34" s="55"/>
      <c r="M34" s="61" t="s">
        <v>131</v>
      </c>
      <c r="N34" s="49"/>
      <c r="O34" s="55"/>
      <c r="P34" s="61" t="s">
        <v>131</v>
      </c>
      <c r="Q34" s="94"/>
      <c r="R34" s="96" t="str">
        <f>IF(AND(計算シート!C18&lt;&gt;"",C34=""),"加入未入力",IF(C34="○",IF(計算シート!C18="","年齢未入力",""),""))</f>
        <v/>
      </c>
      <c r="S34" s="103" t="s">
        <v>147</v>
      </c>
      <c r="T34" s="115" t="s">
        <v>168</v>
      </c>
      <c r="U34" s="103" t="s">
        <v>112</v>
      </c>
      <c r="V34" s="114" t="s">
        <v>198</v>
      </c>
      <c r="W34" s="103" t="s">
        <v>150</v>
      </c>
      <c r="X34" s="114" t="s">
        <v>85</v>
      </c>
      <c r="Y34" s="103" t="s">
        <v>241</v>
      </c>
      <c r="Z34" s="114" t="s">
        <v>255</v>
      </c>
      <c r="AA34" s="103" t="s">
        <v>163</v>
      </c>
      <c r="AB34" s="114" t="s">
        <v>286</v>
      </c>
      <c r="AC34" s="103" t="s">
        <v>113</v>
      </c>
      <c r="AD34" s="114" t="s">
        <v>304</v>
      </c>
      <c r="AE34" s="103" t="s">
        <v>308</v>
      </c>
      <c r="AF34" s="114" t="s">
        <v>314</v>
      </c>
      <c r="AG34" s="103" t="s">
        <v>371</v>
      </c>
      <c r="AH34" s="114" t="s">
        <v>254</v>
      </c>
    </row>
    <row r="35" spans="1:34" ht="24" customHeight="1">
      <c r="A35" s="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93"/>
      <c r="R35" s="96" t="str">
        <f>IF(OR(C34="○",C34="×"),IF(Q34="年齢未入力","加入者の年齢未入力",""),"")</f>
        <v/>
      </c>
      <c r="S35" s="103" t="s">
        <v>148</v>
      </c>
      <c r="T35" s="114" t="s">
        <v>170</v>
      </c>
      <c r="U35" s="103" t="s">
        <v>184</v>
      </c>
      <c r="V35" s="114" t="s">
        <v>200</v>
      </c>
      <c r="W35" s="103" t="s">
        <v>101</v>
      </c>
      <c r="X35" s="114" t="s">
        <v>227</v>
      </c>
      <c r="Y35" s="103" t="s">
        <v>242</v>
      </c>
      <c r="Z35" s="114" t="s">
        <v>256</v>
      </c>
      <c r="AA35" s="103" t="s">
        <v>274</v>
      </c>
      <c r="AB35" s="114" t="s">
        <v>287</v>
      </c>
      <c r="AC35" s="103" t="s">
        <v>295</v>
      </c>
      <c r="AD35" s="114" t="s">
        <v>269</v>
      </c>
      <c r="AE35" s="103" t="s">
        <v>292</v>
      </c>
      <c r="AF35" s="114" t="s">
        <v>315</v>
      </c>
      <c r="AG35" s="106" t="s">
        <v>369</v>
      </c>
      <c r="AH35" s="118" t="s">
        <v>19</v>
      </c>
    </row>
    <row r="36" spans="1:34" ht="24" customHeight="1">
      <c r="A36" s="3"/>
      <c r="B36" s="13"/>
      <c r="C36" s="13"/>
      <c r="D36" s="13" t="s">
        <v>117</v>
      </c>
      <c r="E36" s="13"/>
      <c r="F36" s="13"/>
      <c r="G36" s="13"/>
      <c r="H36" s="25" t="s">
        <v>119</v>
      </c>
      <c r="I36" s="37"/>
      <c r="J36" s="37"/>
      <c r="K36" s="44"/>
      <c r="L36" s="25" t="s">
        <v>80</v>
      </c>
      <c r="M36" s="37"/>
      <c r="N36" s="37"/>
      <c r="O36" s="37"/>
      <c r="P36" s="44"/>
      <c r="Q36" s="93"/>
      <c r="R36" s="18"/>
      <c r="S36" s="103" t="s">
        <v>162</v>
      </c>
      <c r="T36" s="114" t="s">
        <v>171</v>
      </c>
      <c r="U36" s="103" t="s">
        <v>81</v>
      </c>
      <c r="V36" s="114" t="s">
        <v>201</v>
      </c>
      <c r="W36" s="103" t="s">
        <v>217</v>
      </c>
      <c r="X36" s="114" t="s">
        <v>228</v>
      </c>
      <c r="Y36" s="103" t="s">
        <v>244</v>
      </c>
      <c r="Z36" s="114" t="s">
        <v>257</v>
      </c>
      <c r="AA36" s="103" t="s">
        <v>276</v>
      </c>
      <c r="AB36" s="114" t="s">
        <v>288</v>
      </c>
      <c r="AC36" s="103" t="s">
        <v>297</v>
      </c>
      <c r="AD36" s="114" t="s">
        <v>172</v>
      </c>
      <c r="AE36" s="103" t="s">
        <v>309</v>
      </c>
      <c r="AF36" s="114" t="s">
        <v>310</v>
      </c>
      <c r="AG36" s="18"/>
      <c r="AH36" s="18"/>
    </row>
    <row r="37" spans="1:34" ht="24" customHeight="1">
      <c r="A37" s="3"/>
      <c r="B37" s="13" t="s">
        <v>121</v>
      </c>
      <c r="C37" s="13"/>
      <c r="D37" s="29">
        <f>計算シート!B50</f>
        <v>0</v>
      </c>
      <c r="E37" s="38"/>
      <c r="F37" s="38"/>
      <c r="G37" s="44" t="s">
        <v>131</v>
      </c>
      <c r="H37" s="29">
        <f>計算シート!E50</f>
        <v>0</v>
      </c>
      <c r="I37" s="62"/>
      <c r="J37" s="62"/>
      <c r="K37" s="70" t="s">
        <v>131</v>
      </c>
      <c r="L37" s="29">
        <f>計算シート!H50</f>
        <v>0</v>
      </c>
      <c r="M37" s="38"/>
      <c r="N37" s="38"/>
      <c r="O37" s="38"/>
      <c r="P37" s="86" t="s">
        <v>131</v>
      </c>
      <c r="Q37" s="93"/>
      <c r="R37" s="18"/>
      <c r="S37" s="103" t="s">
        <v>164</v>
      </c>
      <c r="T37" s="114" t="s">
        <v>173</v>
      </c>
      <c r="U37" s="103" t="s">
        <v>186</v>
      </c>
      <c r="V37" s="114" t="s">
        <v>185</v>
      </c>
      <c r="W37" s="103" t="s">
        <v>40</v>
      </c>
      <c r="X37" s="114" t="s">
        <v>230</v>
      </c>
      <c r="Y37" s="103" t="s">
        <v>245</v>
      </c>
      <c r="Z37" s="114" t="s">
        <v>258</v>
      </c>
      <c r="AA37" s="103" t="s">
        <v>277</v>
      </c>
      <c r="AB37" s="114" t="s">
        <v>120</v>
      </c>
      <c r="AC37" s="103" t="s">
        <v>44</v>
      </c>
      <c r="AD37" s="114" t="s">
        <v>282</v>
      </c>
      <c r="AE37" s="103" t="s">
        <v>284</v>
      </c>
      <c r="AF37" s="114" t="s">
        <v>302</v>
      </c>
      <c r="AG37" s="18"/>
      <c r="AH37" s="18"/>
    </row>
    <row r="38" spans="1:34" ht="24" customHeight="1">
      <c r="A38" s="3"/>
      <c r="B38" s="13" t="s">
        <v>96</v>
      </c>
      <c r="C38" s="13"/>
      <c r="D38" s="29">
        <f>計算シート!C50</f>
        <v>0</v>
      </c>
      <c r="E38" s="38"/>
      <c r="F38" s="38"/>
      <c r="G38" s="44" t="s">
        <v>131</v>
      </c>
      <c r="H38" s="29">
        <f>計算シート!F50</f>
        <v>0</v>
      </c>
      <c r="I38" s="38"/>
      <c r="J38" s="38"/>
      <c r="K38" s="70" t="s">
        <v>131</v>
      </c>
      <c r="L38" s="29">
        <f>計算シート!I50</f>
        <v>0</v>
      </c>
      <c r="M38" s="38"/>
      <c r="N38" s="38"/>
      <c r="O38" s="38"/>
      <c r="P38" s="86" t="s">
        <v>131</v>
      </c>
      <c r="Q38" s="93"/>
      <c r="R38" s="18"/>
      <c r="S38" s="103" t="s">
        <v>149</v>
      </c>
      <c r="T38" s="114" t="s">
        <v>174</v>
      </c>
      <c r="U38" s="103" t="s">
        <v>187</v>
      </c>
      <c r="V38" s="114" t="s">
        <v>202</v>
      </c>
      <c r="W38" s="103" t="s">
        <v>165</v>
      </c>
      <c r="X38" s="114" t="s">
        <v>232</v>
      </c>
      <c r="Y38" s="103" t="s">
        <v>197</v>
      </c>
      <c r="Z38" s="114" t="s">
        <v>259</v>
      </c>
      <c r="AA38" s="103" t="s">
        <v>278</v>
      </c>
      <c r="AB38" s="114" t="s">
        <v>289</v>
      </c>
      <c r="AC38" s="103" t="s">
        <v>298</v>
      </c>
      <c r="AD38" s="114" t="s">
        <v>194</v>
      </c>
      <c r="AE38" s="103" t="s">
        <v>114</v>
      </c>
      <c r="AF38" s="114" t="s">
        <v>115</v>
      </c>
      <c r="AG38" s="18"/>
      <c r="AH38" s="18"/>
    </row>
    <row r="39" spans="1:34" ht="24" customHeight="1">
      <c r="A39" s="3"/>
      <c r="B39" s="13" t="s">
        <v>122</v>
      </c>
      <c r="C39" s="13"/>
      <c r="D39" s="29">
        <f>計算シート!D50</f>
        <v>0</v>
      </c>
      <c r="E39" s="38"/>
      <c r="F39" s="38"/>
      <c r="G39" s="44" t="s">
        <v>131</v>
      </c>
      <c r="H39" s="29">
        <f>計算シート!G50</f>
        <v>0</v>
      </c>
      <c r="I39" s="38"/>
      <c r="J39" s="38"/>
      <c r="K39" s="70" t="s">
        <v>131</v>
      </c>
      <c r="L39" s="29">
        <f>計算シート!J50</f>
        <v>0</v>
      </c>
      <c r="M39" s="38"/>
      <c r="N39" s="38"/>
      <c r="O39" s="38"/>
      <c r="P39" s="86" t="s">
        <v>131</v>
      </c>
      <c r="Q39" s="93"/>
      <c r="R39" s="18"/>
      <c r="S39" s="103" t="s">
        <v>151</v>
      </c>
      <c r="T39" s="114" t="s">
        <v>175</v>
      </c>
      <c r="U39" s="103" t="s">
        <v>188</v>
      </c>
      <c r="V39" s="114" t="s">
        <v>203</v>
      </c>
      <c r="W39" s="103" t="s">
        <v>218</v>
      </c>
      <c r="X39" s="114" t="s">
        <v>234</v>
      </c>
      <c r="Y39" s="103" t="s">
        <v>145</v>
      </c>
      <c r="Z39" s="114" t="s">
        <v>260</v>
      </c>
      <c r="AA39" s="103" t="s">
        <v>279</v>
      </c>
      <c r="AB39" s="114" t="s">
        <v>63</v>
      </c>
      <c r="AC39" s="103" t="s">
        <v>161</v>
      </c>
      <c r="AD39" s="114" t="s">
        <v>291</v>
      </c>
      <c r="AE39" s="103" t="s">
        <v>311</v>
      </c>
      <c r="AF39" s="114" t="s">
        <v>316</v>
      </c>
      <c r="AG39" s="18"/>
      <c r="AH39" s="18"/>
    </row>
    <row r="40" spans="1:34" ht="24" customHeight="1">
      <c r="A40" s="3"/>
      <c r="B40" s="13" t="s">
        <v>58</v>
      </c>
      <c r="C40" s="13"/>
      <c r="D40" s="29">
        <f>IF(D41=0,0,計算シート!B51)</f>
        <v>0</v>
      </c>
      <c r="E40" s="38"/>
      <c r="F40" s="38"/>
      <c r="G40" s="44" t="s">
        <v>131</v>
      </c>
      <c r="H40" s="29">
        <f>IF(H41=0,0,計算シート!E51)</f>
        <v>0</v>
      </c>
      <c r="I40" s="38"/>
      <c r="J40" s="38"/>
      <c r="K40" s="70" t="s">
        <v>131</v>
      </c>
      <c r="L40" s="29">
        <f>IF(L41=0,0,計算シート!H51)</f>
        <v>0</v>
      </c>
      <c r="M40" s="38"/>
      <c r="N40" s="38"/>
      <c r="O40" s="38"/>
      <c r="P40" s="86" t="s">
        <v>131</v>
      </c>
      <c r="Q40" s="93"/>
      <c r="R40" s="18"/>
      <c r="S40" s="103" t="s">
        <v>41</v>
      </c>
      <c r="T40" s="114" t="s">
        <v>178</v>
      </c>
      <c r="U40" s="103" t="s">
        <v>189</v>
      </c>
      <c r="V40" s="114" t="s">
        <v>204</v>
      </c>
      <c r="W40" s="103" t="s">
        <v>181</v>
      </c>
      <c r="X40" s="114" t="s">
        <v>235</v>
      </c>
      <c r="Y40" s="103" t="s">
        <v>247</v>
      </c>
      <c r="Z40" s="114" t="s">
        <v>261</v>
      </c>
      <c r="AA40" s="103" t="s">
        <v>212</v>
      </c>
      <c r="AB40" s="115" t="s">
        <v>290</v>
      </c>
      <c r="AC40" s="103" t="s">
        <v>3</v>
      </c>
      <c r="AD40" s="114" t="s">
        <v>87</v>
      </c>
      <c r="AE40" s="103" t="s">
        <v>312</v>
      </c>
      <c r="AF40" s="114" t="s">
        <v>239</v>
      </c>
      <c r="AG40" s="18"/>
      <c r="AH40" s="18"/>
    </row>
    <row r="41" spans="1:34" ht="24" customHeight="1">
      <c r="A41" s="3"/>
      <c r="B41" s="13" t="s">
        <v>79</v>
      </c>
      <c r="C41" s="13"/>
      <c r="D41" s="30">
        <f>計算シート!B52</f>
        <v>0</v>
      </c>
      <c r="E41" s="39"/>
      <c r="F41" s="39"/>
      <c r="G41" s="44" t="s">
        <v>131</v>
      </c>
      <c r="H41" s="30">
        <f>計算シート!E52</f>
        <v>0</v>
      </c>
      <c r="I41" s="39"/>
      <c r="J41" s="39"/>
      <c r="K41" s="70" t="s">
        <v>131</v>
      </c>
      <c r="L41" s="30">
        <f>計算シート!H52</f>
        <v>0</v>
      </c>
      <c r="M41" s="39"/>
      <c r="N41" s="39"/>
      <c r="O41" s="39"/>
      <c r="P41" s="86" t="s">
        <v>131</v>
      </c>
      <c r="Q41" s="93"/>
      <c r="R41" s="18"/>
      <c r="S41" s="103" t="s">
        <v>154</v>
      </c>
      <c r="T41" s="114" t="s">
        <v>137</v>
      </c>
      <c r="U41" s="103" t="s">
        <v>191</v>
      </c>
      <c r="V41" s="114" t="s">
        <v>205</v>
      </c>
      <c r="W41" s="103" t="s">
        <v>219</v>
      </c>
      <c r="X41" s="114" t="s">
        <v>82</v>
      </c>
      <c r="Y41" s="103" t="s">
        <v>248</v>
      </c>
      <c r="Z41" s="114" t="s">
        <v>262</v>
      </c>
      <c r="AA41" s="103" t="s">
        <v>281</v>
      </c>
      <c r="AB41" s="115" t="s">
        <v>293</v>
      </c>
      <c r="AC41" s="103" t="s">
        <v>299</v>
      </c>
      <c r="AD41" s="114" t="s">
        <v>305</v>
      </c>
      <c r="AE41" s="103" t="s">
        <v>127</v>
      </c>
      <c r="AF41" s="114" t="s">
        <v>46</v>
      </c>
      <c r="AG41" s="18"/>
      <c r="AH41" s="18"/>
    </row>
    <row r="42" spans="1:34" ht="7.2" customHeight="1">
      <c r="A42" s="3"/>
      <c r="B42" s="19"/>
      <c r="C42" s="19"/>
      <c r="D42" s="31"/>
      <c r="E42" s="40"/>
      <c r="F42" s="31"/>
      <c r="G42" s="50"/>
      <c r="H42" s="40"/>
      <c r="I42" s="40"/>
      <c r="J42" s="31"/>
      <c r="K42" s="31"/>
      <c r="L42" s="31"/>
      <c r="M42" s="31"/>
      <c r="N42" s="40"/>
      <c r="O42" s="40"/>
      <c r="P42" s="40"/>
      <c r="Q42" s="93"/>
      <c r="R42" s="18"/>
      <c r="S42" s="104" t="s">
        <v>156</v>
      </c>
      <c r="T42" s="116" t="s">
        <v>179</v>
      </c>
      <c r="U42" s="104" t="s">
        <v>118</v>
      </c>
      <c r="V42" s="116" t="s">
        <v>48</v>
      </c>
      <c r="W42" s="104" t="s">
        <v>220</v>
      </c>
      <c r="X42" s="116" t="s">
        <v>237</v>
      </c>
      <c r="Y42" s="104" t="s">
        <v>249</v>
      </c>
      <c r="Z42" s="116" t="s">
        <v>265</v>
      </c>
      <c r="AA42" s="104" t="s">
        <v>263</v>
      </c>
      <c r="AB42" s="116" t="s">
        <v>206</v>
      </c>
      <c r="AC42" s="104" t="s">
        <v>95</v>
      </c>
      <c r="AD42" s="116" t="s">
        <v>243</v>
      </c>
      <c r="AE42" s="104" t="s">
        <v>16</v>
      </c>
      <c r="AF42" s="116" t="s">
        <v>317</v>
      </c>
      <c r="AG42" s="18"/>
      <c r="AH42" s="18"/>
    </row>
    <row r="43" spans="1:34" ht="16.8" customHeight="1">
      <c r="A43" s="3"/>
      <c r="B43" s="20"/>
      <c r="C43" s="20"/>
      <c r="D43" s="32"/>
      <c r="E43" s="41"/>
      <c r="F43" s="32"/>
      <c r="G43" s="20"/>
      <c r="H43" s="41"/>
      <c r="I43" s="63" t="s">
        <v>128</v>
      </c>
      <c r="J43" s="63"/>
      <c r="K43" s="63"/>
      <c r="L43" s="73" t="str">
        <f>IF(D41=0,"",IF(計算シート!G25=7,"7割軽減",IF(計算シート!G25=5,"5割軽減",IF(計算シート!G25=2,"2割軽減","該当なし"))))</f>
        <v/>
      </c>
      <c r="M43" s="73"/>
      <c r="N43" s="73"/>
      <c r="O43" s="73"/>
      <c r="P43" s="73"/>
      <c r="Q43" s="93"/>
      <c r="R43" s="18"/>
      <c r="S43" s="105"/>
      <c r="T43" s="117"/>
      <c r="U43" s="105"/>
      <c r="V43" s="117"/>
      <c r="W43" s="105"/>
      <c r="X43" s="117"/>
      <c r="Y43" s="105"/>
      <c r="Z43" s="117"/>
      <c r="AA43" s="105"/>
      <c r="AB43" s="117"/>
      <c r="AC43" s="105"/>
      <c r="AD43" s="117"/>
      <c r="AE43" s="105"/>
      <c r="AF43" s="117"/>
      <c r="AG43" s="18"/>
      <c r="AH43" s="18"/>
    </row>
    <row r="44" spans="1:34" ht="7.2" customHeight="1">
      <c r="A44" s="3"/>
      <c r="B44" s="19"/>
      <c r="C44" s="19"/>
      <c r="D44" s="31"/>
      <c r="E44" s="40"/>
      <c r="F44" s="31"/>
      <c r="G44" s="40"/>
      <c r="H44" s="40"/>
      <c r="I44" s="63"/>
      <c r="J44" s="63"/>
      <c r="K44" s="63"/>
      <c r="L44" s="73"/>
      <c r="M44" s="73"/>
      <c r="N44" s="73"/>
      <c r="O44" s="73"/>
      <c r="P44" s="73"/>
      <c r="Q44" s="93"/>
      <c r="R44" s="18"/>
      <c r="S44" s="103" t="s">
        <v>158</v>
      </c>
      <c r="T44" s="114" t="s">
        <v>180</v>
      </c>
      <c r="U44" s="103" t="s">
        <v>74</v>
      </c>
      <c r="V44" s="114" t="s">
        <v>208</v>
      </c>
      <c r="W44" s="103" t="s">
        <v>222</v>
      </c>
      <c r="X44" s="114" t="s">
        <v>17</v>
      </c>
      <c r="Y44" s="103" t="s">
        <v>250</v>
      </c>
      <c r="Z44" s="114" t="s">
        <v>267</v>
      </c>
      <c r="AA44" s="103" t="s">
        <v>176</v>
      </c>
      <c r="AB44" s="114" t="s">
        <v>215</v>
      </c>
      <c r="AC44" s="103" t="s">
        <v>300</v>
      </c>
      <c r="AD44" s="114" t="s">
        <v>296</v>
      </c>
      <c r="AE44" s="103" t="s">
        <v>216</v>
      </c>
      <c r="AF44" s="115" t="s">
        <v>116</v>
      </c>
      <c r="AG44" s="18"/>
      <c r="AH44" s="18"/>
    </row>
    <row r="45" spans="1:34" ht="18.600000000000001" customHeight="1">
      <c r="A45" s="3"/>
      <c r="B45" s="19"/>
      <c r="C45" s="19"/>
      <c r="D45" s="31"/>
      <c r="E45" s="40"/>
      <c r="F45" s="31"/>
      <c r="G45" s="40"/>
      <c r="H45" s="40"/>
      <c r="I45" s="64"/>
      <c r="J45" s="64"/>
      <c r="K45" s="64"/>
      <c r="L45" s="74"/>
      <c r="M45" s="74"/>
      <c r="N45" s="74"/>
      <c r="O45" s="74"/>
      <c r="P45" s="74"/>
      <c r="Q45" s="93"/>
      <c r="R45" s="18"/>
      <c r="S45" s="106"/>
      <c r="T45" s="118"/>
      <c r="U45" s="106"/>
      <c r="V45" s="118"/>
      <c r="W45" s="106"/>
      <c r="X45" s="118"/>
      <c r="Y45" s="106"/>
      <c r="Z45" s="118"/>
      <c r="AA45" s="106"/>
      <c r="AB45" s="118"/>
      <c r="AC45" s="106"/>
      <c r="AD45" s="118"/>
      <c r="AE45" s="106"/>
      <c r="AF45" s="122"/>
      <c r="AG45" s="18"/>
      <c r="AH45" s="18"/>
    </row>
    <row r="46" spans="1:34" ht="4.8" customHeight="1">
      <c r="A46" s="3"/>
      <c r="Q46" s="89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  <row r="47" spans="1:34" ht="33" customHeight="1">
      <c r="A47" s="3"/>
      <c r="D47" s="33" t="s">
        <v>123</v>
      </c>
      <c r="E47" s="33"/>
      <c r="F47" s="33"/>
      <c r="G47" s="33"/>
      <c r="H47" s="56">
        <f>計算シート!B55</f>
        <v>0</v>
      </c>
      <c r="I47" s="56"/>
      <c r="J47" s="65"/>
      <c r="K47" s="71" t="s">
        <v>131</v>
      </c>
      <c r="L47" s="75"/>
      <c r="M47" s="10" t="s">
        <v>125</v>
      </c>
      <c r="Q47" s="89"/>
      <c r="S47" s="107" t="s">
        <v>363</v>
      </c>
    </row>
    <row r="48" spans="1:34" ht="9" customHeight="1">
      <c r="A48" s="3"/>
      <c r="D48" s="34"/>
      <c r="E48" s="42"/>
      <c r="F48" s="42"/>
      <c r="G48" s="51"/>
      <c r="H48" s="51"/>
      <c r="I48" s="51"/>
      <c r="J48" s="66"/>
      <c r="Q48" s="89"/>
      <c r="S48" s="108" t="s">
        <v>157</v>
      </c>
      <c r="T48" s="108" t="s">
        <v>354</v>
      </c>
      <c r="U48" s="108" t="s">
        <v>221</v>
      </c>
      <c r="V48" s="108" t="s">
        <v>355</v>
      </c>
      <c r="W48" s="108" t="s">
        <v>356</v>
      </c>
      <c r="X48" s="108" t="s">
        <v>34</v>
      </c>
      <c r="Y48" s="108" t="s">
        <v>357</v>
      </c>
      <c r="Z48" s="108" t="s">
        <v>358</v>
      </c>
      <c r="AA48" s="108" t="s">
        <v>359</v>
      </c>
      <c r="AB48" s="108" t="s">
        <v>360</v>
      </c>
    </row>
    <row r="49" spans="1:28" ht="22.8" customHeight="1">
      <c r="A49" s="3"/>
      <c r="D49" s="35" t="s">
        <v>53</v>
      </c>
      <c r="E49" s="35"/>
      <c r="F49" s="35" t="s">
        <v>361</v>
      </c>
      <c r="G49" s="52"/>
      <c r="H49" s="52"/>
      <c r="I49" s="52"/>
      <c r="J49" s="35" t="s">
        <v>353</v>
      </c>
      <c r="K49" s="72" t="s">
        <v>373</v>
      </c>
      <c r="L49" s="76"/>
      <c r="M49" s="76"/>
      <c r="N49" s="80"/>
      <c r="Q49" s="89"/>
      <c r="S49" s="109">
        <f>H47-SUM(T49:AB49)</f>
        <v>0</v>
      </c>
      <c r="T49" s="109">
        <f t="shared" ref="T49:AB49" si="0">ROUNDDOWN($H$47/10,-2)</f>
        <v>0</v>
      </c>
      <c r="U49" s="109">
        <f t="shared" si="0"/>
        <v>0</v>
      </c>
      <c r="V49" s="109">
        <f t="shared" si="0"/>
        <v>0</v>
      </c>
      <c r="W49" s="109">
        <f t="shared" si="0"/>
        <v>0</v>
      </c>
      <c r="X49" s="109">
        <f t="shared" si="0"/>
        <v>0</v>
      </c>
      <c r="Y49" s="109">
        <f t="shared" si="0"/>
        <v>0</v>
      </c>
      <c r="Z49" s="109">
        <f t="shared" si="0"/>
        <v>0</v>
      </c>
      <c r="AA49" s="109">
        <f t="shared" si="0"/>
        <v>0</v>
      </c>
      <c r="AB49" s="109">
        <f t="shared" si="0"/>
        <v>0</v>
      </c>
    </row>
    <row r="50" spans="1:28" ht="9" customHeight="1">
      <c r="A50" s="3"/>
      <c r="Q50" s="89"/>
    </row>
    <row r="51" spans="1:28" ht="33" customHeight="1">
      <c r="A51" s="3"/>
      <c r="D51" s="36" t="s">
        <v>362</v>
      </c>
      <c r="E51" s="43"/>
      <c r="F51" s="43"/>
      <c r="G51" s="43"/>
      <c r="H51" s="56">
        <f>IF(G49="",H47,VLOOKUP(G49,計算シート!I1:J12,2))</f>
        <v>0</v>
      </c>
      <c r="I51" s="56"/>
      <c r="J51" s="65"/>
      <c r="K51" s="43" t="s">
        <v>131</v>
      </c>
      <c r="L51" s="71"/>
      <c r="M51" s="10" t="s">
        <v>125</v>
      </c>
      <c r="Q51" s="89"/>
    </row>
    <row r="52" spans="1:28" ht="9.6" customHeight="1">
      <c r="A52" s="7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95"/>
    </row>
    <row r="53" spans="1:28" ht="18.600000000000001" customHeight="1"/>
  </sheetData>
  <sheetProtection password="F0E3" sheet="1" objects="1" scenarios="1" selectLockedCells="1"/>
  <mergeCells count="94">
    <mergeCell ref="B1:P1"/>
    <mergeCell ref="N2:Q2"/>
    <mergeCell ref="D27:F27"/>
    <mergeCell ref="G29:H29"/>
    <mergeCell ref="J29:L29"/>
    <mergeCell ref="N29:O29"/>
    <mergeCell ref="G30:H30"/>
    <mergeCell ref="J30:L30"/>
    <mergeCell ref="N30:O30"/>
    <mergeCell ref="G31:H31"/>
    <mergeCell ref="J31:L31"/>
    <mergeCell ref="N31:O31"/>
    <mergeCell ref="G32:H32"/>
    <mergeCell ref="J32:L32"/>
    <mergeCell ref="N32:O32"/>
    <mergeCell ref="G33:H33"/>
    <mergeCell ref="J33:L33"/>
    <mergeCell ref="N33:O33"/>
    <mergeCell ref="G34:H34"/>
    <mergeCell ref="J34:L34"/>
    <mergeCell ref="N34:O34"/>
    <mergeCell ref="B36:C36"/>
    <mergeCell ref="D36:G36"/>
    <mergeCell ref="H36:K36"/>
    <mergeCell ref="L36:P36"/>
    <mergeCell ref="B37:C37"/>
    <mergeCell ref="D37:F37"/>
    <mergeCell ref="H37:J37"/>
    <mergeCell ref="L37:O37"/>
    <mergeCell ref="B38:C38"/>
    <mergeCell ref="D38:F38"/>
    <mergeCell ref="H38:J38"/>
    <mergeCell ref="L38:O38"/>
    <mergeCell ref="B39:C39"/>
    <mergeCell ref="D39:F39"/>
    <mergeCell ref="H39:J39"/>
    <mergeCell ref="L39:O39"/>
    <mergeCell ref="B40:C40"/>
    <mergeCell ref="D40:F40"/>
    <mergeCell ref="H40:J40"/>
    <mergeCell ref="L40:O40"/>
    <mergeCell ref="B41:C41"/>
    <mergeCell ref="D41:F41"/>
    <mergeCell ref="H41:J41"/>
    <mergeCell ref="L41:O41"/>
    <mergeCell ref="D47:G47"/>
    <mergeCell ref="H47:J47"/>
    <mergeCell ref="K47:L47"/>
    <mergeCell ref="D49:E49"/>
    <mergeCell ref="G49:I49"/>
    <mergeCell ref="K49:N49"/>
    <mergeCell ref="D51:G51"/>
    <mergeCell ref="H51:J51"/>
    <mergeCell ref="K51:L51"/>
    <mergeCell ref="S2:Y6"/>
    <mergeCell ref="Z2:AF6"/>
    <mergeCell ref="AG2:AR6"/>
    <mergeCell ref="S17:Y18"/>
    <mergeCell ref="Z17:AF18"/>
    <mergeCell ref="B27:B28"/>
    <mergeCell ref="C27:C28"/>
    <mergeCell ref="G27:I28"/>
    <mergeCell ref="J27:M28"/>
    <mergeCell ref="N27:P28"/>
    <mergeCell ref="S42:S43"/>
    <mergeCell ref="T42:T43"/>
    <mergeCell ref="U42:U43"/>
    <mergeCell ref="V42:V43"/>
    <mergeCell ref="W42:W43"/>
    <mergeCell ref="X42:X43"/>
    <mergeCell ref="Y42:Y43"/>
    <mergeCell ref="Z42:Z43"/>
    <mergeCell ref="AA42:AA43"/>
    <mergeCell ref="AB42:AB43"/>
    <mergeCell ref="AC42:AC43"/>
    <mergeCell ref="AD42:AD43"/>
    <mergeCell ref="AE42:AE43"/>
    <mergeCell ref="AF42:AF43"/>
    <mergeCell ref="I43:K44"/>
    <mergeCell ref="L43:P44"/>
    <mergeCell ref="S44:S45"/>
    <mergeCell ref="T44:T45"/>
    <mergeCell ref="U44:U45"/>
    <mergeCell ref="V44:V45"/>
    <mergeCell ref="W44:W45"/>
    <mergeCell ref="X44:X45"/>
    <mergeCell ref="Y44:Y45"/>
    <mergeCell ref="Z44:Z45"/>
    <mergeCell ref="AA44:AA45"/>
    <mergeCell ref="AB44:AB45"/>
    <mergeCell ref="AC44:AC45"/>
    <mergeCell ref="AD44:AD45"/>
    <mergeCell ref="AE44:AE45"/>
    <mergeCell ref="AF44:AF45"/>
  </mergeCells>
  <phoneticPr fontId="1" type="Hiragana"/>
  <dataValidations count="5">
    <dataValidation type="whole" allowBlank="1" showDropDown="0" showInputMessage="1" showErrorMessage="1" sqref="D30:D34">
      <formula1>1946</formula1>
      <formula2>2022</formula2>
    </dataValidation>
    <dataValidation type="whole" allowBlank="1" showDropDown="0" showInputMessage="1" showErrorMessage="1" sqref="E29:E34">
      <formula1>1</formula1>
      <formula2>12</formula2>
    </dataValidation>
    <dataValidation type="whole" allowBlank="1" showDropDown="0" showInputMessage="1" showErrorMessage="1" sqref="F29:F34">
      <formula1>1</formula1>
      <formula2>31</formula2>
    </dataValidation>
    <dataValidation type="whole" allowBlank="1" showDropDown="0" showInputMessage="1" showErrorMessage="1" sqref="N29:O34 G29:H34 J29:L34">
      <formula1>0</formula1>
      <formula2>999999999</formula2>
    </dataValidation>
    <dataValidation type="whole" allowBlank="1" showDropDown="0" showInputMessage="1" showErrorMessage="1" sqref="D29">
      <formula1>1922</formula1>
      <formula2>2022</formula2>
    </dataValidation>
  </dataValidations>
  <pageMargins left="0.59055118110236215" right="0.39370078740157483" top="0.55314960629921262" bottom="0.35629921259842523" header="0.3" footer="0.3"/>
  <pageSetup paperSize="9" scale="89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0" showInputMessage="1" showErrorMessage="1">
          <x14:formula1>
            <xm:f>計算シート!$H$1:$H$2</xm:f>
          </x14:formula1>
          <xm:sqref>B29</xm:sqref>
        </x14:dataValidation>
        <x14:dataValidation type="list" allowBlank="0" showDropDown="0" showInputMessage="1" showErrorMessage="1">
          <x14:formula1>
            <xm:f>計算シート!$H$1:$H$2</xm:f>
          </x14:formula1>
          <xm:sqref>C29</xm:sqref>
        </x14:dataValidation>
        <x14:dataValidation type="list" allowBlank="1" showDropDown="0" showInputMessage="1" showErrorMessage="1">
          <x14:formula1>
            <xm:f>計算シート!$H$1</xm:f>
          </x14:formula1>
          <xm:sqref>C30:C34</xm:sqref>
        </x14:dataValidation>
        <x14:dataValidation type="list" allowBlank="1" showDropDown="0" showInputMessage="1" showErrorMessage="1">
          <x14:formula1>
            <xm:f>計算シート!$I$1:$I$12</xm:f>
          </x14:formula1>
          <xm:sqref>G49:I49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132"/>
  <sheetViews>
    <sheetView workbookViewId="0">
      <selection activeCell="B40" sqref="B40"/>
    </sheetView>
  </sheetViews>
  <sheetFormatPr defaultRowHeight="13.5"/>
  <cols>
    <col min="1" max="10" width="13.5546875" customWidth="1"/>
    <col min="13" max="13" width="10.6640625" bestFit="1" customWidth="1"/>
    <col min="14" max="14" width="3.6640625" style="123" customWidth="1"/>
    <col min="15" max="15" width="10.6640625" bestFit="1" customWidth="1"/>
    <col min="16" max="16" width="9.6640625" bestFit="1" customWidth="1"/>
    <col min="25" max="25" width="8.88671875" customWidth="1"/>
    <col min="34" max="34" width="9.109375" bestFit="1" customWidth="1"/>
  </cols>
  <sheetData>
    <row r="1" spans="1:37">
      <c r="A1" s="35" t="s">
        <v>52</v>
      </c>
      <c r="B1" s="35" t="s">
        <v>24</v>
      </c>
      <c r="C1" s="35" t="s">
        <v>45</v>
      </c>
      <c r="D1" s="35" t="s">
        <v>26</v>
      </c>
      <c r="E1" s="35" t="s">
        <v>336</v>
      </c>
      <c r="F1" s="35" t="s">
        <v>56</v>
      </c>
      <c r="G1" s="124" t="s">
        <v>33</v>
      </c>
      <c r="H1" t="s">
        <v>91</v>
      </c>
      <c r="I1" s="131" t="s">
        <v>129</v>
      </c>
      <c r="J1" s="134">
        <f>Y132</f>
        <v>0</v>
      </c>
      <c r="M1" s="35" t="s">
        <v>28</v>
      </c>
      <c r="N1" s="35"/>
      <c r="O1" s="35"/>
      <c r="P1" s="35" t="s">
        <v>61</v>
      </c>
      <c r="Q1" s="35"/>
      <c r="R1" s="35"/>
      <c r="S1" s="35"/>
      <c r="T1" s="35"/>
      <c r="U1" s="35"/>
      <c r="X1" t="s">
        <v>346</v>
      </c>
    </row>
    <row r="2" spans="1:37">
      <c r="A2" s="35"/>
      <c r="B2" s="35"/>
      <c r="C2" s="35"/>
      <c r="D2" s="35"/>
      <c r="E2" s="35"/>
      <c r="F2" s="35"/>
      <c r="G2" s="125"/>
      <c r="H2" t="s">
        <v>130</v>
      </c>
      <c r="I2" s="131" t="s">
        <v>375</v>
      </c>
      <c r="J2" s="134">
        <f>Z132</f>
        <v>0</v>
      </c>
      <c r="M2" s="35"/>
      <c r="N2" s="35"/>
      <c r="O2" s="35"/>
      <c r="P2" s="35" t="s">
        <v>9</v>
      </c>
      <c r="Q2" s="35" t="s">
        <v>11</v>
      </c>
      <c r="R2" s="35" t="s">
        <v>12</v>
      </c>
      <c r="S2" s="35" t="s">
        <v>15</v>
      </c>
      <c r="T2" s="35" t="s">
        <v>10</v>
      </c>
      <c r="U2" s="35" t="s">
        <v>5</v>
      </c>
      <c r="X2" s="126"/>
      <c r="Y2" s="126" t="s">
        <v>340</v>
      </c>
      <c r="Z2" s="126" t="s">
        <v>134</v>
      </c>
      <c r="AA2" s="126" t="s">
        <v>341</v>
      </c>
      <c r="AB2" s="126" t="s">
        <v>50</v>
      </c>
      <c r="AC2" s="126" t="s">
        <v>236</v>
      </c>
      <c r="AD2" s="126" t="s">
        <v>342</v>
      </c>
      <c r="AE2" s="126" t="s">
        <v>20</v>
      </c>
      <c r="AF2" s="126" t="s">
        <v>343</v>
      </c>
      <c r="AG2" s="126" t="s">
        <v>344</v>
      </c>
      <c r="AH2" s="126" t="s">
        <v>67</v>
      </c>
      <c r="AI2" s="126" t="s">
        <v>338</v>
      </c>
      <c r="AJ2" s="126" t="s">
        <v>339</v>
      </c>
    </row>
    <row r="3" spans="1:37">
      <c r="A3" s="35" t="s">
        <v>9</v>
      </c>
      <c r="B3" s="133">
        <f>IF(P15&gt;=0,P15,0)</f>
        <v>0</v>
      </c>
      <c r="C3" s="133">
        <f>P76</f>
        <v>0</v>
      </c>
      <c r="D3" s="133">
        <f>'入力・結果表示シート'!N29</f>
        <v>0</v>
      </c>
      <c r="E3" s="133">
        <f>P83</f>
        <v>0</v>
      </c>
      <c r="F3" s="133">
        <f>IF('入力・結果表示シート'!C29="○",SUM(B3:D3)-E3,0)</f>
        <v>0</v>
      </c>
      <c r="G3" s="133">
        <f>IF(F3&lt;=430000,0,F3-430000)</f>
        <v>0</v>
      </c>
      <c r="I3" s="131" t="s">
        <v>376</v>
      </c>
      <c r="J3" s="134">
        <f>AA132</f>
        <v>0</v>
      </c>
      <c r="M3" s="35"/>
      <c r="N3" s="35"/>
      <c r="O3" s="35"/>
      <c r="P3" s="126">
        <f>'入力・結果表示シート'!G29</f>
        <v>0</v>
      </c>
      <c r="Q3" s="126">
        <f>'入力・結果表示シート'!G30</f>
        <v>0</v>
      </c>
      <c r="R3" s="126">
        <f>'入力・結果表示シート'!G31</f>
        <v>0</v>
      </c>
      <c r="S3" s="126">
        <f>'入力・結果表示シート'!G32</f>
        <v>0</v>
      </c>
      <c r="T3" s="126">
        <f>'入力・結果表示シート'!G33</f>
        <v>0</v>
      </c>
      <c r="U3" s="126">
        <f>'入力・結果表示シート'!G34</f>
        <v>0</v>
      </c>
      <c r="V3" t="s">
        <v>62</v>
      </c>
      <c r="X3" s="35" t="s">
        <v>9</v>
      </c>
      <c r="Y3" s="131" t="str">
        <f t="shared" ref="Y3:Y8" si="0">IFERROR(DATEDIF(B13,"2025/5/1","y"),"")</f>
        <v/>
      </c>
      <c r="Z3" s="131" t="str">
        <f t="shared" ref="Z3:Z8" si="1">IFERROR(DATEDIF(B13,"2025/6/1","y"),"")</f>
        <v/>
      </c>
      <c r="AA3" s="131" t="str">
        <f t="shared" ref="AA3:AA8" si="2">IFERROR(DATEDIF(B13,"2025/7/1","y"),"")</f>
        <v/>
      </c>
      <c r="AB3" s="131" t="str">
        <f t="shared" ref="AB3:AB8" si="3">IFERROR(DATEDIF(B13,"2025/8/1","y"),"")</f>
        <v/>
      </c>
      <c r="AC3" s="131" t="str">
        <f t="shared" ref="AC3:AC8" si="4">IFERROR(DATEDIF(B13,"2025/9/1","y"),"")</f>
        <v/>
      </c>
      <c r="AD3" s="131" t="str">
        <f t="shared" ref="AD3:AD8" si="5">IFERROR(DATEDIF(B13,"2025/10/1","y"),"")</f>
        <v/>
      </c>
      <c r="AE3" s="131" t="str">
        <f t="shared" ref="AE3:AE8" si="6">IFERROR(DATEDIF(B13,"2025/11/1","y"),"")</f>
        <v/>
      </c>
      <c r="AF3" s="131" t="str">
        <f t="shared" ref="AF3:AF8" si="7">IFERROR(DATEDIF(B13,"2025/12/1","y"),"")</f>
        <v/>
      </c>
      <c r="AG3" s="131" t="str">
        <f t="shared" ref="AG3:AG8" si="8">IFERROR(DATEDIF(B13,"2026/1/1","y"),"")</f>
        <v/>
      </c>
      <c r="AH3" s="131" t="str">
        <f t="shared" ref="AH3:AH8" si="9">IFERROR(DATEDIF(B13,"2026/2/1","y"),"")</f>
        <v/>
      </c>
      <c r="AI3" s="131" t="str">
        <f t="shared" ref="AI3:AI8" si="10">IFERROR(DATEDIF(B13,"2026/3/1","y"),"")</f>
        <v/>
      </c>
      <c r="AJ3" s="131" t="str">
        <f t="shared" ref="AJ3:AJ8" si="11">IFERROR(DATEDIF(B13,"2026/4/1","y"),"")</f>
        <v/>
      </c>
    </row>
    <row r="4" spans="1:37">
      <c r="A4" s="35" t="s">
        <v>11</v>
      </c>
      <c r="B4" s="133">
        <f>IF(Q15&gt;=0,Q15,0)</f>
        <v>0</v>
      </c>
      <c r="C4" s="133">
        <f>Q76</f>
        <v>0</v>
      </c>
      <c r="D4" s="133">
        <f>'入力・結果表示シート'!N30</f>
        <v>0</v>
      </c>
      <c r="E4" s="133">
        <f>Q83</f>
        <v>0</v>
      </c>
      <c r="F4" s="133">
        <f>IF('入力・結果表示シート'!C30="○",SUM(B4:D4)-E4,0)</f>
        <v>0</v>
      </c>
      <c r="G4" s="133">
        <f>IF(F4&lt;=430000,0,F4-430000-R83)</f>
        <v>0</v>
      </c>
      <c r="I4" s="131" t="s">
        <v>93</v>
      </c>
      <c r="J4" s="134">
        <f>AB132</f>
        <v>0</v>
      </c>
      <c r="M4" s="133"/>
      <c r="N4" s="35" t="s">
        <v>60</v>
      </c>
      <c r="O4" s="133">
        <v>550999</v>
      </c>
      <c r="P4" s="126">
        <f t="shared" ref="P4:U4" si="12">IF(P3&lt;=$O$4,0,"")</f>
        <v>0</v>
      </c>
      <c r="Q4" s="126">
        <f t="shared" si="12"/>
        <v>0</v>
      </c>
      <c r="R4" s="126">
        <f t="shared" si="12"/>
        <v>0</v>
      </c>
      <c r="S4" s="126">
        <f t="shared" si="12"/>
        <v>0</v>
      </c>
      <c r="T4" s="126">
        <f t="shared" si="12"/>
        <v>0</v>
      </c>
      <c r="U4" s="126">
        <f t="shared" si="12"/>
        <v>0</v>
      </c>
      <c r="X4" s="35" t="s">
        <v>11</v>
      </c>
      <c r="Y4" s="131" t="str">
        <f t="shared" si="0"/>
        <v/>
      </c>
      <c r="Z4" s="131" t="str">
        <f t="shared" si="1"/>
        <v/>
      </c>
      <c r="AA4" s="131" t="str">
        <f t="shared" si="2"/>
        <v/>
      </c>
      <c r="AB4" s="131" t="str">
        <f t="shared" si="3"/>
        <v/>
      </c>
      <c r="AC4" s="131" t="str">
        <f t="shared" si="4"/>
        <v/>
      </c>
      <c r="AD4" s="131" t="str">
        <f t="shared" si="5"/>
        <v/>
      </c>
      <c r="AE4" s="131" t="str">
        <f t="shared" si="6"/>
        <v/>
      </c>
      <c r="AF4" s="131" t="str">
        <f t="shared" si="7"/>
        <v/>
      </c>
      <c r="AG4" s="131" t="str">
        <f t="shared" si="8"/>
        <v/>
      </c>
      <c r="AH4" s="131" t="str">
        <f t="shared" si="9"/>
        <v/>
      </c>
      <c r="AI4" s="131" t="str">
        <f t="shared" si="10"/>
        <v/>
      </c>
      <c r="AJ4" s="131" t="str">
        <f t="shared" si="11"/>
        <v/>
      </c>
    </row>
    <row r="5" spans="1:37">
      <c r="A5" s="35" t="s">
        <v>12</v>
      </c>
      <c r="B5" s="133">
        <f>IF(R15&gt;=0,R15,0)</f>
        <v>0</v>
      </c>
      <c r="C5" s="133">
        <f>R76</f>
        <v>0</v>
      </c>
      <c r="D5" s="133">
        <f>'入力・結果表示シート'!N31</f>
        <v>0</v>
      </c>
      <c r="E5" s="133">
        <f>R83</f>
        <v>0</v>
      </c>
      <c r="F5" s="133">
        <f>IF('入力・結果表示シート'!C31="○",SUM(B5:D5)-E5,0)</f>
        <v>0</v>
      </c>
      <c r="G5" s="133">
        <f>IF(F5&lt;=430000,0,F5-430000-S83)</f>
        <v>0</v>
      </c>
      <c r="I5" s="131" t="s">
        <v>377</v>
      </c>
      <c r="J5" s="134">
        <f>AC132</f>
        <v>0</v>
      </c>
      <c r="M5" s="133">
        <v>551000</v>
      </c>
      <c r="N5" s="35" t="s">
        <v>60</v>
      </c>
      <c r="O5" s="133">
        <v>1618999</v>
      </c>
      <c r="P5" s="126" t="str">
        <f t="shared" ref="P5:U5" si="13">IF(AND($M$5&lt;=P3,P3&lt;=$O$5),P3-550000,"")</f>
        <v/>
      </c>
      <c r="Q5" s="126" t="str">
        <f t="shared" si="13"/>
        <v/>
      </c>
      <c r="R5" s="126" t="str">
        <f t="shared" si="13"/>
        <v/>
      </c>
      <c r="S5" s="126" t="str">
        <f t="shared" si="13"/>
        <v/>
      </c>
      <c r="T5" s="126" t="str">
        <f t="shared" si="13"/>
        <v/>
      </c>
      <c r="U5" s="126" t="str">
        <f t="shared" si="13"/>
        <v/>
      </c>
      <c r="X5" s="35" t="s">
        <v>12</v>
      </c>
      <c r="Y5" s="131" t="str">
        <f t="shared" si="0"/>
        <v/>
      </c>
      <c r="Z5" s="131" t="str">
        <f t="shared" si="1"/>
        <v/>
      </c>
      <c r="AA5" s="131" t="str">
        <f t="shared" si="2"/>
        <v/>
      </c>
      <c r="AB5" s="131" t="str">
        <f t="shared" si="3"/>
        <v/>
      </c>
      <c r="AC5" s="131" t="str">
        <f t="shared" si="4"/>
        <v/>
      </c>
      <c r="AD5" s="131" t="str">
        <f t="shared" si="5"/>
        <v/>
      </c>
      <c r="AE5" s="131" t="str">
        <f t="shared" si="6"/>
        <v/>
      </c>
      <c r="AF5" s="131" t="str">
        <f t="shared" si="7"/>
        <v/>
      </c>
      <c r="AG5" s="131" t="str">
        <f t="shared" si="8"/>
        <v/>
      </c>
      <c r="AH5" s="131" t="str">
        <f t="shared" si="9"/>
        <v/>
      </c>
      <c r="AI5" s="131" t="str">
        <f t="shared" si="10"/>
        <v/>
      </c>
      <c r="AJ5" s="131" t="str">
        <f t="shared" si="11"/>
        <v/>
      </c>
    </row>
    <row r="6" spans="1:37">
      <c r="A6" s="35" t="s">
        <v>15</v>
      </c>
      <c r="B6" s="133">
        <f>IF(S15&gt;=0,S15,0)</f>
        <v>0</v>
      </c>
      <c r="C6" s="133">
        <f>S76</f>
        <v>0</v>
      </c>
      <c r="D6" s="133">
        <f>'入力・結果表示シート'!N32</f>
        <v>0</v>
      </c>
      <c r="E6" s="133">
        <f>S83</f>
        <v>0</v>
      </c>
      <c r="F6" s="133">
        <f>IF('入力・結果表示シート'!C32="○",SUM(B6:D6)-E6,0)</f>
        <v>0</v>
      </c>
      <c r="G6" s="133">
        <f>IF(F6&lt;=430000,0,F6-430000-T83)</f>
        <v>0</v>
      </c>
      <c r="I6" s="131" t="s">
        <v>378</v>
      </c>
      <c r="J6" s="134">
        <f>AD132</f>
        <v>0</v>
      </c>
      <c r="M6" s="133">
        <v>1619000</v>
      </c>
      <c r="N6" s="35" t="s">
        <v>60</v>
      </c>
      <c r="O6" s="133">
        <v>1619999</v>
      </c>
      <c r="P6" s="126" t="str">
        <f t="shared" ref="P6:U6" si="14">IF(AND($M$6&lt;=P3,P3&lt;=$O$6),1069000,"")</f>
        <v/>
      </c>
      <c r="Q6" s="126" t="str">
        <f t="shared" si="14"/>
        <v/>
      </c>
      <c r="R6" s="126" t="str">
        <f t="shared" si="14"/>
        <v/>
      </c>
      <c r="S6" s="126" t="str">
        <f t="shared" si="14"/>
        <v/>
      </c>
      <c r="T6" s="126" t="str">
        <f t="shared" si="14"/>
        <v/>
      </c>
      <c r="U6" s="126" t="str">
        <f t="shared" si="14"/>
        <v/>
      </c>
      <c r="X6" s="35" t="s">
        <v>15</v>
      </c>
      <c r="Y6" s="131" t="str">
        <f t="shared" si="0"/>
        <v/>
      </c>
      <c r="Z6" s="131" t="str">
        <f t="shared" si="1"/>
        <v/>
      </c>
      <c r="AA6" s="131" t="str">
        <f t="shared" si="2"/>
        <v/>
      </c>
      <c r="AB6" s="131" t="str">
        <f t="shared" si="3"/>
        <v/>
      </c>
      <c r="AC6" s="131" t="str">
        <f t="shared" si="4"/>
        <v/>
      </c>
      <c r="AD6" s="131" t="str">
        <f t="shared" si="5"/>
        <v/>
      </c>
      <c r="AE6" s="131" t="str">
        <f t="shared" si="6"/>
        <v/>
      </c>
      <c r="AF6" s="131" t="str">
        <f t="shared" si="7"/>
        <v/>
      </c>
      <c r="AG6" s="131" t="str">
        <f t="shared" si="8"/>
        <v/>
      </c>
      <c r="AH6" s="131" t="str">
        <f t="shared" si="9"/>
        <v/>
      </c>
      <c r="AI6" s="131" t="str">
        <f t="shared" si="10"/>
        <v/>
      </c>
      <c r="AJ6" s="131" t="str">
        <f t="shared" si="11"/>
        <v/>
      </c>
    </row>
    <row r="7" spans="1:37">
      <c r="A7" s="35" t="s">
        <v>10</v>
      </c>
      <c r="B7" s="133">
        <f>IF(T15&gt;=0,T15,0)</f>
        <v>0</v>
      </c>
      <c r="C7" s="133">
        <f>T76</f>
        <v>0</v>
      </c>
      <c r="D7" s="133">
        <f>'入力・結果表示シート'!N33</f>
        <v>0</v>
      </c>
      <c r="E7" s="133">
        <f>T83</f>
        <v>0</v>
      </c>
      <c r="F7" s="133">
        <f>IF('入力・結果表示シート'!C33="○",SUM(B7:D7)-E7,0)</f>
        <v>0</v>
      </c>
      <c r="G7" s="133">
        <f>IF(F7&lt;=430000,0,F7-430000-U83)</f>
        <v>0</v>
      </c>
      <c r="I7" s="131" t="s">
        <v>231</v>
      </c>
      <c r="J7" s="134">
        <f>AE132</f>
        <v>0</v>
      </c>
      <c r="M7" s="133">
        <v>1620000</v>
      </c>
      <c r="N7" s="35" t="s">
        <v>60</v>
      </c>
      <c r="O7" s="133">
        <v>1621999</v>
      </c>
      <c r="P7" s="126" t="str">
        <f t="shared" ref="P7:U7" si="15">IF(AND($M$7&lt;=P3,P3&lt;=$O$7),1070000,"")</f>
        <v/>
      </c>
      <c r="Q7" s="126" t="str">
        <f t="shared" si="15"/>
        <v/>
      </c>
      <c r="R7" s="126" t="str">
        <f t="shared" si="15"/>
        <v/>
      </c>
      <c r="S7" s="126" t="str">
        <f t="shared" si="15"/>
        <v/>
      </c>
      <c r="T7" s="126" t="str">
        <f t="shared" si="15"/>
        <v/>
      </c>
      <c r="U7" s="126" t="str">
        <f t="shared" si="15"/>
        <v/>
      </c>
      <c r="X7" s="35" t="s">
        <v>10</v>
      </c>
      <c r="Y7" s="131" t="str">
        <f t="shared" si="0"/>
        <v/>
      </c>
      <c r="Z7" s="131" t="str">
        <f t="shared" si="1"/>
        <v/>
      </c>
      <c r="AA7" s="131" t="str">
        <f t="shared" si="2"/>
        <v/>
      </c>
      <c r="AB7" s="131" t="str">
        <f t="shared" si="3"/>
        <v/>
      </c>
      <c r="AC7" s="131" t="str">
        <f t="shared" si="4"/>
        <v/>
      </c>
      <c r="AD7" s="131" t="str">
        <f t="shared" si="5"/>
        <v/>
      </c>
      <c r="AE7" s="131" t="str">
        <f t="shared" si="6"/>
        <v/>
      </c>
      <c r="AF7" s="131" t="str">
        <f t="shared" si="7"/>
        <v/>
      </c>
      <c r="AG7" s="131" t="str">
        <f t="shared" si="8"/>
        <v/>
      </c>
      <c r="AH7" s="131" t="str">
        <f t="shared" si="9"/>
        <v/>
      </c>
      <c r="AI7" s="131" t="str">
        <f t="shared" si="10"/>
        <v/>
      </c>
      <c r="AJ7" s="131" t="str">
        <f t="shared" si="11"/>
        <v/>
      </c>
    </row>
    <row r="8" spans="1:37" ht="14.25">
      <c r="A8" s="35" t="s">
        <v>5</v>
      </c>
      <c r="B8" s="133">
        <f>IF(U15&gt;=0,U15,0)</f>
        <v>0</v>
      </c>
      <c r="C8" s="133">
        <f>U76</f>
        <v>0</v>
      </c>
      <c r="D8" s="133">
        <f>'入力・結果表示シート'!N34</f>
        <v>0</v>
      </c>
      <c r="E8" s="133">
        <f>U83</f>
        <v>0</v>
      </c>
      <c r="F8" s="133">
        <f>IF('入力・結果表示シート'!C34="○",SUM(B8:D8)-E8,0)</f>
        <v>0</v>
      </c>
      <c r="G8" s="133">
        <f>IF(F8&lt;=430000,0,F8-430000-V83)</f>
        <v>0</v>
      </c>
      <c r="I8" s="131" t="s">
        <v>379</v>
      </c>
      <c r="J8" s="134">
        <f>AF132</f>
        <v>0</v>
      </c>
      <c r="M8" s="133">
        <v>1622000</v>
      </c>
      <c r="N8" s="35" t="s">
        <v>60</v>
      </c>
      <c r="O8" s="133">
        <v>1623999</v>
      </c>
      <c r="P8" s="126" t="str">
        <f t="shared" ref="P8:U8" si="16">IF(AND($M$8&lt;=P3,P3&lt;=$O$8),1072000,"")</f>
        <v/>
      </c>
      <c r="Q8" s="126" t="str">
        <f t="shared" si="16"/>
        <v/>
      </c>
      <c r="R8" s="126" t="str">
        <f t="shared" si="16"/>
        <v/>
      </c>
      <c r="S8" s="126" t="str">
        <f t="shared" si="16"/>
        <v/>
      </c>
      <c r="T8" s="126" t="str">
        <f t="shared" si="16"/>
        <v/>
      </c>
      <c r="U8" s="126" t="str">
        <f t="shared" si="16"/>
        <v/>
      </c>
      <c r="X8" s="35" t="s">
        <v>5</v>
      </c>
      <c r="Y8" s="131" t="str">
        <f t="shared" si="0"/>
        <v/>
      </c>
      <c r="Z8" s="131" t="str">
        <f t="shared" si="1"/>
        <v/>
      </c>
      <c r="AA8" s="131" t="str">
        <f t="shared" si="2"/>
        <v/>
      </c>
      <c r="AB8" s="131" t="str">
        <f t="shared" si="3"/>
        <v/>
      </c>
      <c r="AC8" s="131" t="str">
        <f t="shared" si="4"/>
        <v/>
      </c>
      <c r="AD8" s="131" t="str">
        <f t="shared" si="5"/>
        <v/>
      </c>
      <c r="AE8" s="131" t="str">
        <f t="shared" si="6"/>
        <v/>
      </c>
      <c r="AF8" s="131" t="str">
        <f t="shared" si="7"/>
        <v/>
      </c>
      <c r="AG8" s="131" t="str">
        <f t="shared" si="8"/>
        <v/>
      </c>
      <c r="AH8" s="131" t="str">
        <f t="shared" si="9"/>
        <v/>
      </c>
      <c r="AI8" s="131" t="str">
        <f t="shared" si="10"/>
        <v/>
      </c>
      <c r="AJ8" s="131" t="str">
        <f t="shared" si="11"/>
        <v/>
      </c>
    </row>
    <row r="9" spans="1:37" ht="14.25">
      <c r="B9" s="134"/>
      <c r="C9" s="134"/>
      <c r="D9" s="134"/>
      <c r="E9" s="156"/>
      <c r="F9" s="156" t="s">
        <v>65</v>
      </c>
      <c r="G9" s="163">
        <f>SUM(G3:G8)</f>
        <v>0</v>
      </c>
      <c r="I9" s="131" t="s">
        <v>337</v>
      </c>
      <c r="J9" s="134">
        <f>AG132</f>
        <v>0</v>
      </c>
      <c r="M9" s="133">
        <v>1624000</v>
      </c>
      <c r="N9" s="35" t="s">
        <v>60</v>
      </c>
      <c r="O9" s="133">
        <v>1627999</v>
      </c>
      <c r="P9" s="126" t="str">
        <f t="shared" ref="P9:U9" si="17">IF(AND($M$9&lt;=P3,P3&lt;=$O$9),1074000,"")</f>
        <v/>
      </c>
      <c r="Q9" s="126" t="str">
        <f t="shared" si="17"/>
        <v/>
      </c>
      <c r="R9" s="126" t="str">
        <f t="shared" si="17"/>
        <v/>
      </c>
      <c r="S9" s="126" t="str">
        <f t="shared" si="17"/>
        <v/>
      </c>
      <c r="T9" s="126" t="str">
        <f t="shared" si="17"/>
        <v/>
      </c>
      <c r="U9" s="126" t="str">
        <f t="shared" si="17"/>
        <v/>
      </c>
    </row>
    <row r="10" spans="1:37">
      <c r="D10" t="s">
        <v>49</v>
      </c>
      <c r="I10" s="131" t="s">
        <v>280</v>
      </c>
      <c r="J10" s="134">
        <f>AH132</f>
        <v>0</v>
      </c>
      <c r="M10" s="133">
        <v>1628000</v>
      </c>
      <c r="N10" s="35" t="s">
        <v>60</v>
      </c>
      <c r="O10" s="133">
        <v>1799999</v>
      </c>
      <c r="P10" s="126" t="str">
        <f t="shared" ref="P10:U10" si="18">IF(AND($M$10&lt;=P3,P3&lt;=$O$10),ROUNDDOWN(P3/4,-3)*2.4+100000,"")</f>
        <v/>
      </c>
      <c r="Q10" s="126" t="str">
        <f t="shared" si="18"/>
        <v/>
      </c>
      <c r="R10" s="126" t="str">
        <f t="shared" si="18"/>
        <v/>
      </c>
      <c r="S10" s="126" t="str">
        <f t="shared" si="18"/>
        <v/>
      </c>
      <c r="T10" s="126" t="str">
        <f t="shared" si="18"/>
        <v/>
      </c>
      <c r="U10" s="126" t="str">
        <f t="shared" si="18"/>
        <v/>
      </c>
      <c r="X10" t="s">
        <v>253</v>
      </c>
    </row>
    <row r="11" spans="1:37">
      <c r="A11" s="35" t="s">
        <v>52</v>
      </c>
      <c r="B11" s="35" t="s">
        <v>36</v>
      </c>
      <c r="C11" s="144" t="s">
        <v>368</v>
      </c>
      <c r="D11" s="144" t="s">
        <v>66</v>
      </c>
      <c r="E11" s="144" t="s">
        <v>68</v>
      </c>
      <c r="I11" s="131" t="s">
        <v>380</v>
      </c>
      <c r="J11" s="134">
        <f>AI132</f>
        <v>0</v>
      </c>
      <c r="M11" s="133">
        <v>1800000</v>
      </c>
      <c r="N11" s="35" t="s">
        <v>60</v>
      </c>
      <c r="O11" s="133">
        <v>3599999</v>
      </c>
      <c r="P11" s="126" t="str">
        <f t="shared" ref="P11:U11" si="19">IF(AND($M$11&lt;=P3,P3&lt;=$O$11),ROUNDDOWN(P3/4,-3)*2.8-80000,"")</f>
        <v/>
      </c>
      <c r="Q11" s="126" t="str">
        <f t="shared" si="19"/>
        <v/>
      </c>
      <c r="R11" s="126" t="str">
        <f t="shared" si="19"/>
        <v/>
      </c>
      <c r="S11" s="126" t="str">
        <f t="shared" si="19"/>
        <v/>
      </c>
      <c r="T11" s="126" t="str">
        <f t="shared" si="19"/>
        <v/>
      </c>
      <c r="U11" s="126" t="str">
        <f t="shared" si="19"/>
        <v/>
      </c>
      <c r="X11" s="126"/>
      <c r="Y11" s="126" t="s">
        <v>340</v>
      </c>
      <c r="Z11" s="126" t="s">
        <v>134</v>
      </c>
      <c r="AA11" s="126" t="s">
        <v>341</v>
      </c>
      <c r="AB11" s="126" t="s">
        <v>50</v>
      </c>
      <c r="AC11" s="126" t="s">
        <v>236</v>
      </c>
      <c r="AD11" s="126" t="s">
        <v>342</v>
      </c>
      <c r="AE11" s="126" t="s">
        <v>20</v>
      </c>
      <c r="AF11" s="126" t="s">
        <v>343</v>
      </c>
      <c r="AG11" s="126" t="s">
        <v>344</v>
      </c>
      <c r="AH11" s="126" t="s">
        <v>67</v>
      </c>
      <c r="AI11" s="126" t="s">
        <v>338</v>
      </c>
      <c r="AJ11" s="126" t="s">
        <v>339</v>
      </c>
    </row>
    <row r="12" spans="1:37">
      <c r="A12" s="35"/>
      <c r="B12" s="35"/>
      <c r="C12" s="35"/>
      <c r="D12" s="35"/>
      <c r="E12" s="35"/>
      <c r="I12" s="131" t="s">
        <v>373</v>
      </c>
      <c r="J12" s="134">
        <f>AJ132</f>
        <v>0</v>
      </c>
      <c r="M12" s="133">
        <v>3600000</v>
      </c>
      <c r="N12" s="35" t="s">
        <v>60</v>
      </c>
      <c r="O12" s="133">
        <v>6599999</v>
      </c>
      <c r="P12" s="126" t="str">
        <f t="shared" ref="P12:U12" si="20">IF(AND($M$12&lt;=P3,P3&lt;=$O$12),ROUNDDOWN(P3/4,-3)*3.2-440000,"")</f>
        <v/>
      </c>
      <c r="Q12" s="126" t="str">
        <f t="shared" si="20"/>
        <v/>
      </c>
      <c r="R12" s="126" t="str">
        <f t="shared" si="20"/>
        <v/>
      </c>
      <c r="S12" s="126" t="str">
        <f t="shared" si="20"/>
        <v/>
      </c>
      <c r="T12" s="126" t="str">
        <f t="shared" si="20"/>
        <v/>
      </c>
      <c r="U12" s="126" t="str">
        <f t="shared" si="20"/>
        <v/>
      </c>
      <c r="X12" s="35" t="s">
        <v>9</v>
      </c>
      <c r="Y12" s="126">
        <f>IF('入力・結果表示シート'!$C$29="○",IF(AND(Y3&gt;39,Y3&lt;65),1,0),0)</f>
        <v>0</v>
      </c>
      <c r="Z12" s="126">
        <f>IF('入力・結果表示シート'!$C$29="○",IF(AND(Z3&gt;39,Z3&lt;65),1,0),0)</f>
        <v>0</v>
      </c>
      <c r="AA12" s="126">
        <f>IF('入力・結果表示シート'!$C$29="○",IF(AND(AA3&gt;39,AA3&lt;65),1,0),0)</f>
        <v>0</v>
      </c>
      <c r="AB12" s="126">
        <f>IF('入力・結果表示シート'!$C$29="○",IF(AND(AB3&gt;39,AB3&lt;65),1,0),0)</f>
        <v>0</v>
      </c>
      <c r="AC12" s="126">
        <f>IF('入力・結果表示シート'!$C$29="○",IF(AND(AC3&gt;39,AC3&lt;65),1,0),0)</f>
        <v>0</v>
      </c>
      <c r="AD12" s="126">
        <f>IF('入力・結果表示シート'!$C$29="○",IF(AND(AD3&gt;39,AD3&lt;65),1,0),0)</f>
        <v>0</v>
      </c>
      <c r="AE12" s="126">
        <f>IF('入力・結果表示シート'!$C$29="○",IF(AND(AE3&gt;39,AE3&lt;65),1,0),0)</f>
        <v>0</v>
      </c>
      <c r="AF12" s="126">
        <f>IF('入力・結果表示シート'!$C$29="○",IF(AND(AF3&gt;39,AF3&lt;65),1,0),0)</f>
        <v>0</v>
      </c>
      <c r="AG12" s="126">
        <f>IF('入力・結果表示シート'!$C$29="○",IF(AND(AG3&gt;39,AG3&lt;65),1,0),0)</f>
        <v>0</v>
      </c>
      <c r="AH12" s="126">
        <f>IF('入力・結果表示シート'!$C$29="○",IF(AND(AH3&gt;39,AH3&lt;65),1,0),0)</f>
        <v>0</v>
      </c>
      <c r="AI12" s="126">
        <f>IF('入力・結果表示シート'!$C$29="○",IF(AND(AI3&gt;39,AI3&lt;65),1,0),0)</f>
        <v>0</v>
      </c>
      <c r="AJ12" s="126">
        <f>IF('入力・結果表示シート'!$C$29="○",IF(AND(AJ3&gt;39,AJ3&lt;65),1,0),0)</f>
        <v>0</v>
      </c>
      <c r="AK12">
        <f t="shared" ref="AK12:AK18" si="21">SUM(Y12:AJ12)</f>
        <v>0</v>
      </c>
    </row>
    <row r="13" spans="1:37">
      <c r="A13" s="35" t="s">
        <v>9</v>
      </c>
      <c r="B13" s="135" t="str">
        <f>IF('入力・結果表示シート'!D29="","",TEXT(DATE('入力・結果表示シート'!D29,'入力・結果表示シート'!E29,'入力・結果表示シート'!F29),"yyyy/m/d"))</f>
        <v/>
      </c>
      <c r="C13" s="145" t="str">
        <f t="shared" ref="C13:C18" si="22">IFERROR(DATEDIF(B13,"2025/1/1","y"),"")</f>
        <v/>
      </c>
      <c r="D13" s="133">
        <f t="shared" ref="D13:D18" si="23">IF(C13&gt;=65,IF(C3&gt;150000,C3-150000,C3-C3),C3)</f>
        <v>0</v>
      </c>
      <c r="E13" s="133">
        <f t="shared" ref="E13:E18" si="24">B3+D13+D3-E3</f>
        <v>0</v>
      </c>
      <c r="F13" t="str">
        <f>IF(AND(C13&gt;39,C13&lt;65,'入力・結果表示シート'!C29="○"),"介","")</f>
        <v/>
      </c>
      <c r="G13" t="str">
        <f>IF(AND(C13=74,'入力・結果表示シート'!C29="○"),"後","")</f>
        <v/>
      </c>
      <c r="M13" s="133">
        <v>6600000</v>
      </c>
      <c r="N13" s="35" t="s">
        <v>60</v>
      </c>
      <c r="O13" s="133">
        <v>8499999</v>
      </c>
      <c r="P13" s="126" t="str">
        <f t="shared" ref="P13:U13" si="25">IF(AND($M$13&lt;=P3,P3&lt;=$O$13),ROUNDDOWN(P3*0.9-1100000,0),"")</f>
        <v/>
      </c>
      <c r="Q13" s="126" t="str">
        <f t="shared" si="25"/>
        <v/>
      </c>
      <c r="R13" s="126" t="str">
        <f t="shared" si="25"/>
        <v/>
      </c>
      <c r="S13" s="126" t="str">
        <f t="shared" si="25"/>
        <v/>
      </c>
      <c r="T13" s="126" t="str">
        <f t="shared" si="25"/>
        <v/>
      </c>
      <c r="U13" s="126" t="str">
        <f t="shared" si="25"/>
        <v/>
      </c>
      <c r="X13" s="35" t="s">
        <v>11</v>
      </c>
      <c r="Y13" s="126">
        <f>IF('入力・結果表示シート'!$C$30="○",IF(AND(Y4&gt;39,Y4&lt;65),1,0),0)</f>
        <v>0</v>
      </c>
      <c r="Z13" s="126">
        <f>IF('入力・結果表示シート'!$C$30="○",IF(AND(Z4&gt;39,Z4&lt;65),1,0),0)</f>
        <v>0</v>
      </c>
      <c r="AA13" s="126">
        <f>IF('入力・結果表示シート'!$C$30="○",IF(AND(AA4&gt;39,AA4&lt;65),1,0),0)</f>
        <v>0</v>
      </c>
      <c r="AB13" s="126">
        <f>IF('入力・結果表示シート'!$C$30="○",IF(AND(AB4&gt;39,AB4&lt;65),1,0),0)</f>
        <v>0</v>
      </c>
      <c r="AC13" s="126">
        <f>IF('入力・結果表示シート'!$C$30="○",IF(AND(AC4&gt;39,AC4&lt;65),1,0),0)</f>
        <v>0</v>
      </c>
      <c r="AD13" s="126">
        <f>IF('入力・結果表示シート'!$C$30="○",IF(AND(AD4&gt;39,AD4&lt;65),1,0),0)</f>
        <v>0</v>
      </c>
      <c r="AE13" s="126">
        <f>IF('入力・結果表示シート'!$C$30="○",IF(AND(AE4&gt;39,AE4&lt;65),1,0),0)</f>
        <v>0</v>
      </c>
      <c r="AF13" s="126">
        <f>IF('入力・結果表示シート'!$C$30="○",IF(AND(AF4&gt;39,AF4&lt;65),1,0),0)</f>
        <v>0</v>
      </c>
      <c r="AG13" s="126">
        <f>IF('入力・結果表示シート'!$C$30="○",IF(AND(AG4&gt;39,AG4&lt;65),1,0),0)</f>
        <v>0</v>
      </c>
      <c r="AH13" s="126">
        <f>IF('入力・結果表示シート'!$C$30="○",IF(AND(AH4&gt;39,AH4&lt;65),1,0),0)</f>
        <v>0</v>
      </c>
      <c r="AI13" s="126">
        <f>IF('入力・結果表示シート'!$C$30="○",IF(AND(AI4&gt;39,AI4&lt;65),1,0),0)</f>
        <v>0</v>
      </c>
      <c r="AJ13" s="126">
        <f>IF('入力・結果表示シート'!$C$30="○",IF(AND(AJ4&gt;39,AJ4&lt;65),1,0),0)</f>
        <v>0</v>
      </c>
      <c r="AK13">
        <f t="shared" si="21"/>
        <v>0</v>
      </c>
    </row>
    <row r="14" spans="1:37">
      <c r="A14" s="35" t="s">
        <v>11</v>
      </c>
      <c r="B14" s="135" t="str">
        <f>IF('入力・結果表示シート'!D30="","",TEXT(DATE('入力・結果表示シート'!D30,'入力・結果表示シート'!E30,'入力・結果表示シート'!F30),"yyyy/m/d"))</f>
        <v/>
      </c>
      <c r="C14" s="145" t="str">
        <f t="shared" si="22"/>
        <v/>
      </c>
      <c r="D14" s="133">
        <f t="shared" si="23"/>
        <v>0</v>
      </c>
      <c r="E14" s="133">
        <f t="shared" si="24"/>
        <v>0</v>
      </c>
      <c r="F14" t="str">
        <f>IF(AND(C14&gt;39,C14&lt;65,'入力・結果表示シート'!C30="○"),"介","")</f>
        <v/>
      </c>
      <c r="G14" t="str">
        <f>IF(AND(C14=74,'入力・結果表示シート'!C30="○"),"後","")</f>
        <v/>
      </c>
      <c r="M14" s="133">
        <v>8500000</v>
      </c>
      <c r="N14" s="35" t="s">
        <v>60</v>
      </c>
      <c r="O14" s="133"/>
      <c r="P14" s="126" t="str">
        <f t="shared" ref="P14:U14" si="26">IF(AND($M$14&lt;=P3),P3-1950000,"")</f>
        <v/>
      </c>
      <c r="Q14" s="126" t="str">
        <f t="shared" si="26"/>
        <v/>
      </c>
      <c r="R14" s="126" t="str">
        <f t="shared" si="26"/>
        <v/>
      </c>
      <c r="S14" s="126" t="str">
        <f t="shared" si="26"/>
        <v/>
      </c>
      <c r="T14" s="126" t="str">
        <f t="shared" si="26"/>
        <v/>
      </c>
      <c r="U14" s="126" t="str">
        <f t="shared" si="26"/>
        <v/>
      </c>
      <c r="X14" s="35" t="s">
        <v>12</v>
      </c>
      <c r="Y14" s="126">
        <f>IF('入力・結果表示シート'!$C$31="○",IF(AND(Y5&gt;39,Y5&lt;65),1,0),0)</f>
        <v>0</v>
      </c>
      <c r="Z14" s="126">
        <f>IF('入力・結果表示シート'!$C$31="○",IF(AND(Z5&gt;39,Z5&lt;65),1,0),0)</f>
        <v>0</v>
      </c>
      <c r="AA14" s="126">
        <f>IF('入力・結果表示シート'!$C$31="○",IF(AND(AA5&gt;39,AA5&lt;65),1,0),0)</f>
        <v>0</v>
      </c>
      <c r="AB14" s="126">
        <f>IF('入力・結果表示シート'!$C$31="○",IF(AND(AB5&gt;39,AB5&lt;65),1,0),0)</f>
        <v>0</v>
      </c>
      <c r="AC14" s="126">
        <f>IF('入力・結果表示シート'!$C$31="○",IF(AND(AC5&gt;39,AC5&lt;65),1,0),0)</f>
        <v>0</v>
      </c>
      <c r="AD14" s="126">
        <f>IF('入力・結果表示シート'!$C$31="○",IF(AND(AD5&gt;39,AD5&lt;65),1,0),0)</f>
        <v>0</v>
      </c>
      <c r="AE14" s="126">
        <f>IF('入力・結果表示シート'!$C$31="○",IF(AND(AE5&gt;39,AE5&lt;65),1,0),0)</f>
        <v>0</v>
      </c>
      <c r="AF14" s="126">
        <f>IF('入力・結果表示シート'!$C$31="○",IF(AND(AF5&gt;39,AF5&lt;65),1,0),0)</f>
        <v>0</v>
      </c>
      <c r="AG14" s="126">
        <f>IF('入力・結果表示シート'!$C$31="○",IF(AND(AG5&gt;39,AG5&lt;65),1,0),0)</f>
        <v>0</v>
      </c>
      <c r="AH14" s="126">
        <f>IF('入力・結果表示シート'!$C$31="○",IF(AND(AH5&gt;39,AH5&lt;65),1,0),0)</f>
        <v>0</v>
      </c>
      <c r="AI14" s="126">
        <f>IF('入力・結果表示シート'!$C$31="○",IF(AND(AI5&gt;39,AI5&lt;65),1,0),0)</f>
        <v>0</v>
      </c>
      <c r="AJ14" s="126">
        <f>IF('入力・結果表示シート'!$C$31="○",IF(AND(AJ5&gt;39,AJ5&lt;65),1,0),0)</f>
        <v>0</v>
      </c>
      <c r="AK14">
        <f t="shared" si="21"/>
        <v>0</v>
      </c>
    </row>
    <row r="15" spans="1:37">
      <c r="A15" s="35" t="s">
        <v>12</v>
      </c>
      <c r="B15" s="135" t="str">
        <f>IF('入力・結果表示シート'!D31="","",TEXT(DATE('入力・結果表示シート'!D31,'入力・結果表示シート'!E31,'入力・結果表示シート'!F31),"yyyy/m/d"))</f>
        <v/>
      </c>
      <c r="C15" s="145" t="str">
        <f t="shared" si="22"/>
        <v/>
      </c>
      <c r="D15" s="133">
        <f t="shared" si="23"/>
        <v>0</v>
      </c>
      <c r="E15" s="133">
        <f t="shared" si="24"/>
        <v>0</v>
      </c>
      <c r="F15" t="str">
        <f>IF(AND(C15&gt;39,C15&lt;65,'入力・結果表示シート'!C31="○"),"介","")</f>
        <v/>
      </c>
      <c r="G15" t="str">
        <f>IF(AND(C15=74,'入力・結果表示シート'!C31="○"),"後","")</f>
        <v/>
      </c>
      <c r="M15" s="134"/>
      <c r="O15" s="180" t="s">
        <v>24</v>
      </c>
      <c r="P15" s="133">
        <f t="shared" ref="P15:U15" si="27">SUM(P4:P14)</f>
        <v>0</v>
      </c>
      <c r="Q15" s="133">
        <f t="shared" si="27"/>
        <v>0</v>
      </c>
      <c r="R15" s="133">
        <f t="shared" si="27"/>
        <v>0</v>
      </c>
      <c r="S15" s="133">
        <f t="shared" si="27"/>
        <v>0</v>
      </c>
      <c r="T15" s="133">
        <f t="shared" si="27"/>
        <v>0</v>
      </c>
      <c r="U15" s="133">
        <f t="shared" si="27"/>
        <v>0</v>
      </c>
      <c r="X15" s="35" t="s">
        <v>15</v>
      </c>
      <c r="Y15" s="126">
        <f>IF('入力・結果表示シート'!$C$32="○",IF(AND(Y6&gt;39,Y6&lt;65),1,0),0)</f>
        <v>0</v>
      </c>
      <c r="Z15" s="126">
        <f>IF('入力・結果表示シート'!$C$32="○",IF(AND(Z6&gt;39,Z6&lt;65),1,0),0)</f>
        <v>0</v>
      </c>
      <c r="AA15" s="126">
        <f>IF('入力・結果表示シート'!$C$32="○",IF(AND(AA6&gt;39,AA6&lt;65),1,0),0)</f>
        <v>0</v>
      </c>
      <c r="AB15" s="126">
        <f>IF('入力・結果表示シート'!$C$32="○",IF(AND(AB6&gt;39,AB6&lt;65),1,0),0)</f>
        <v>0</v>
      </c>
      <c r="AC15" s="126">
        <f>IF('入力・結果表示シート'!$C$32="○",IF(AND(AC6&gt;39,AC6&lt;65),1,0),0)</f>
        <v>0</v>
      </c>
      <c r="AD15" s="126">
        <f>IF('入力・結果表示シート'!$C$32="○",IF(AND(AD6&gt;39,AD6&lt;65),1,0),0)</f>
        <v>0</v>
      </c>
      <c r="AE15" s="126">
        <f>IF('入力・結果表示シート'!$C$32="○",IF(AND(AE6&gt;39,AE6&lt;65),1,0),0)</f>
        <v>0</v>
      </c>
      <c r="AF15" s="126">
        <f>IF('入力・結果表示シート'!$C$32="○",IF(AND(AF6&gt;39,AF6&lt;65),1,0),0)</f>
        <v>0</v>
      </c>
      <c r="AG15" s="126">
        <f>IF('入力・結果表示シート'!$C$32="○",IF(AND(AG6&gt;39,AG6&lt;65),1,0),0)</f>
        <v>0</v>
      </c>
      <c r="AH15" s="126">
        <f>IF('入力・結果表示シート'!$C$32="○",IF(AND(AH6&gt;39,AH6&lt;65),1,0),0)</f>
        <v>0</v>
      </c>
      <c r="AI15" s="126">
        <f>IF('入力・結果表示シート'!$C$32="○",IF(AND(AI6&gt;39,AI6&lt;65),1,0),0)</f>
        <v>0</v>
      </c>
      <c r="AJ15" s="126">
        <f>IF('入力・結果表示シート'!$C$32="○",IF(AND(AJ6&gt;39,AJ6&lt;65),1,0),0)</f>
        <v>0</v>
      </c>
      <c r="AK15">
        <f t="shared" si="21"/>
        <v>0</v>
      </c>
    </row>
    <row r="16" spans="1:37">
      <c r="A16" s="35" t="s">
        <v>15</v>
      </c>
      <c r="B16" s="135" t="str">
        <f>IF('入力・結果表示シート'!D32="","",TEXT(DATE('入力・結果表示シート'!D32,'入力・結果表示シート'!E32,'入力・結果表示シート'!F32),"yyyy/m/d"))</f>
        <v/>
      </c>
      <c r="C16" s="145" t="str">
        <f t="shared" si="22"/>
        <v/>
      </c>
      <c r="D16" s="133">
        <f t="shared" si="23"/>
        <v>0</v>
      </c>
      <c r="E16" s="133">
        <f t="shared" si="24"/>
        <v>0</v>
      </c>
      <c r="F16" t="str">
        <f>IF(AND(C16&gt;39,C16&lt;65,'入力・結果表示シート'!C32="○"),"介","")</f>
        <v/>
      </c>
      <c r="G16" t="str">
        <f>IF(AND(C16=74,'入力・結果表示シート'!C32="○"),"後","")</f>
        <v/>
      </c>
      <c r="M16" s="134"/>
      <c r="O16" s="134"/>
      <c r="X16" s="35" t="s">
        <v>10</v>
      </c>
      <c r="Y16" s="126">
        <f>IF('入力・結果表示シート'!$C$33="○",IF(AND(Y7&gt;39,Y7&lt;65),1,0),0)</f>
        <v>0</v>
      </c>
      <c r="Z16" s="126">
        <f>IF('入力・結果表示シート'!$C$33="○",IF(AND(Z7&gt;39,Z7&lt;65),1,0),0)</f>
        <v>0</v>
      </c>
      <c r="AA16" s="126">
        <f>IF('入力・結果表示シート'!$C$33="○",IF(AND(AA7&gt;39,AA7&lt;65),1,0),0)</f>
        <v>0</v>
      </c>
      <c r="AB16" s="126">
        <f>IF('入力・結果表示シート'!$C$33="○",IF(AND(AB7&gt;39,AB7&lt;65),1,0),0)</f>
        <v>0</v>
      </c>
      <c r="AC16" s="126">
        <f>IF('入力・結果表示シート'!$C$33="○",IF(AND(AC7&gt;39,AC7&lt;65),1,0),0)</f>
        <v>0</v>
      </c>
      <c r="AD16" s="126">
        <f>IF('入力・結果表示シート'!$C$33="○",IF(AND(AD7&gt;39,AD7&lt;65),1,0),0)</f>
        <v>0</v>
      </c>
      <c r="AE16" s="126">
        <f>IF('入力・結果表示シート'!$C$33="○",IF(AND(AE7&gt;39,AE7&lt;65),1,0),0)</f>
        <v>0</v>
      </c>
      <c r="AF16" s="126">
        <f>IF('入力・結果表示シート'!$C$33="○",IF(AND(AF7&gt;39,AF7&lt;65),1,0),0)</f>
        <v>0</v>
      </c>
      <c r="AG16" s="126">
        <f>IF('入力・結果表示シート'!$C$33="○",IF(AND(AG7&gt;39,AG7&lt;65),1,0),0)</f>
        <v>0</v>
      </c>
      <c r="AH16" s="126">
        <f>IF('入力・結果表示シート'!$C$33="○",IF(AND(AH7&gt;39,AH7&lt;65),1,0),0)</f>
        <v>0</v>
      </c>
      <c r="AI16" s="126">
        <f>IF('入力・結果表示シート'!$C$33="○",IF(AND(AI7&gt;39,AI7&lt;65),1,0),0)</f>
        <v>0</v>
      </c>
      <c r="AJ16" s="126">
        <f>IF('入力・結果表示シート'!$C$33="○",IF(AND(AJ7&gt;39,AJ7&lt;65),1,0),0)</f>
        <v>0</v>
      </c>
      <c r="AK16">
        <f t="shared" si="21"/>
        <v>0</v>
      </c>
    </row>
    <row r="17" spans="1:37">
      <c r="A17" s="35" t="s">
        <v>10</v>
      </c>
      <c r="B17" s="135" t="str">
        <f>IF('入力・結果表示シート'!D33="","",TEXT(DATE('入力・結果表示シート'!D33,'入力・結果表示シート'!E33,'入力・結果表示シート'!F33),"yyyy/m/d"))</f>
        <v/>
      </c>
      <c r="C17" s="145" t="str">
        <f t="shared" si="22"/>
        <v/>
      </c>
      <c r="D17" s="133">
        <f t="shared" si="23"/>
        <v>0</v>
      </c>
      <c r="E17" s="133">
        <f t="shared" si="24"/>
        <v>0</v>
      </c>
      <c r="F17" t="str">
        <f>IF(AND(C17&gt;39,C17&lt;65,'入力・結果表示シート'!C33="○"),"介","")</f>
        <v/>
      </c>
      <c r="G17" t="str">
        <f>IF(AND(C17=74,'入力・結果表示シート'!C33="○"),"後","")</f>
        <v/>
      </c>
      <c r="X17" s="35" t="s">
        <v>5</v>
      </c>
      <c r="Y17" s="126">
        <f>IF('入力・結果表示シート'!$C$34="○",IF(AND(Y8&gt;39,Y8&lt;65),1,0),0)</f>
        <v>0</v>
      </c>
      <c r="Z17" s="126">
        <f>IF('入力・結果表示シート'!$C$34="○",IF(AND(Z8&gt;39,Z8&lt;65),1,0),0)</f>
        <v>0</v>
      </c>
      <c r="AA17" s="126">
        <f>IF('入力・結果表示シート'!$C$34="○",IF(AND(AA8&gt;39,AA8&lt;65),1,0),0)</f>
        <v>0</v>
      </c>
      <c r="AB17" s="126">
        <f>IF('入力・結果表示シート'!$C$34="○",IF(AND(AB8&gt;39,AB8&lt;65),1,0),0)</f>
        <v>0</v>
      </c>
      <c r="AC17" s="126">
        <f>IF('入力・結果表示シート'!$C$34="○",IF(AND(AC8&gt;39,AC8&lt;65),1,0),0)</f>
        <v>0</v>
      </c>
      <c r="AD17" s="126">
        <f>IF('入力・結果表示シート'!$C$34="○",IF(AND(AD8&gt;39,AD8&lt;65),1,0),0)</f>
        <v>0</v>
      </c>
      <c r="AE17" s="126">
        <f>IF('入力・結果表示シート'!$C$34="○",IF(AND(AE8&gt;39,AE8&lt;65),1,0),0)</f>
        <v>0</v>
      </c>
      <c r="AF17" s="126">
        <f>IF('入力・結果表示シート'!$C$34="○",IF(AND(AF8&gt;39,AF8&lt;65),1,0),0)</f>
        <v>0</v>
      </c>
      <c r="AG17" s="126">
        <f>IF('入力・結果表示シート'!$C$34="○",IF(AND(AG8&gt;39,AG8&lt;65),1,0),0)</f>
        <v>0</v>
      </c>
      <c r="AH17" s="126">
        <f>IF('入力・結果表示シート'!$C$34="○",IF(AND(AH8&gt;39,AH8&lt;65),1,0),0)</f>
        <v>0</v>
      </c>
      <c r="AI17" s="126">
        <f>IF('入力・結果表示シート'!$C$34="○",IF(AND(AI8&gt;39,AI8&lt;65),1,0),0)</f>
        <v>0</v>
      </c>
      <c r="AJ17" s="126">
        <f>IF('入力・結果表示シート'!$C$34="○",IF(AND(AJ8&gt;39,AJ8&lt;65),1,0),0)</f>
        <v>0</v>
      </c>
      <c r="AK17">
        <f t="shared" si="21"/>
        <v>0</v>
      </c>
    </row>
    <row r="18" spans="1:37" ht="14.25">
      <c r="A18" s="35" t="s">
        <v>5</v>
      </c>
      <c r="B18" s="135" t="str">
        <f>IF('入力・結果表示シート'!D34="","",TEXT(DATE('入力・結果表示シート'!D34,'入力・結果表示シート'!E34,'入力・結果表示シート'!F34),"yyyy/m/d"))</f>
        <v/>
      </c>
      <c r="C18" s="145" t="str">
        <f t="shared" si="22"/>
        <v/>
      </c>
      <c r="D18" s="133">
        <f t="shared" si="23"/>
        <v>0</v>
      </c>
      <c r="E18" s="133">
        <f t="shared" si="24"/>
        <v>0</v>
      </c>
      <c r="F18" t="str">
        <f>IF(AND(C18&gt;39,C18&lt;65,'入力・結果表示シート'!C34="○"),"介","")</f>
        <v/>
      </c>
      <c r="G18" t="str">
        <f>IF(AND(C18=74,'入力・結果表示シート'!C34="○"),"後","")</f>
        <v/>
      </c>
      <c r="X18" s="35" t="s">
        <v>347</v>
      </c>
      <c r="Y18" s="126">
        <f t="shared" ref="Y18:AJ18" si="28">IF(COUNTIF(Y12:Y17,1)&gt;=1,1,0)</f>
        <v>0</v>
      </c>
      <c r="Z18" s="126">
        <f t="shared" si="28"/>
        <v>0</v>
      </c>
      <c r="AA18" s="126">
        <f t="shared" si="28"/>
        <v>0</v>
      </c>
      <c r="AB18" s="126">
        <f t="shared" si="28"/>
        <v>0</v>
      </c>
      <c r="AC18" s="126">
        <f t="shared" si="28"/>
        <v>0</v>
      </c>
      <c r="AD18" s="126">
        <f t="shared" si="28"/>
        <v>0</v>
      </c>
      <c r="AE18" s="126">
        <f t="shared" si="28"/>
        <v>0</v>
      </c>
      <c r="AF18" s="126">
        <f t="shared" si="28"/>
        <v>0</v>
      </c>
      <c r="AG18" s="126">
        <f t="shared" si="28"/>
        <v>0</v>
      </c>
      <c r="AH18" s="126">
        <f t="shared" si="28"/>
        <v>0</v>
      </c>
      <c r="AI18" s="126">
        <f t="shared" si="28"/>
        <v>0</v>
      </c>
      <c r="AJ18" s="126">
        <f t="shared" si="28"/>
        <v>0</v>
      </c>
      <c r="AK18">
        <f t="shared" si="21"/>
        <v>0</v>
      </c>
    </row>
    <row r="19" spans="1:37" ht="14.25">
      <c r="C19" s="134"/>
      <c r="D19" s="156" t="s">
        <v>29</v>
      </c>
      <c r="E19" s="163">
        <f>SUM(E13:E18)</f>
        <v>0</v>
      </c>
    </row>
    <row r="20" spans="1:37">
      <c r="L20" s="144" t="s">
        <v>47</v>
      </c>
      <c r="M20" s="144"/>
      <c r="N20" s="144"/>
      <c r="O20" s="144"/>
      <c r="P20" s="184" t="s">
        <v>64</v>
      </c>
      <c r="Q20" s="190"/>
      <c r="R20" s="190"/>
      <c r="S20" s="190"/>
      <c r="T20" s="190"/>
      <c r="U20" s="191"/>
    </row>
    <row r="21" spans="1:37">
      <c r="A21" s="124"/>
      <c r="B21" s="124" t="s">
        <v>73</v>
      </c>
      <c r="C21" s="146" t="s">
        <v>76</v>
      </c>
      <c r="D21" s="124" t="s">
        <v>37</v>
      </c>
      <c r="L21" s="144"/>
      <c r="M21" s="144"/>
      <c r="N21" s="144"/>
      <c r="O21" s="144"/>
      <c r="P21" s="35" t="s">
        <v>9</v>
      </c>
      <c r="Q21" s="35" t="s">
        <v>11</v>
      </c>
      <c r="R21" s="35" t="s">
        <v>12</v>
      </c>
      <c r="S21" s="35" t="s">
        <v>15</v>
      </c>
      <c r="T21" s="35" t="s">
        <v>10</v>
      </c>
      <c r="U21" s="35" t="s">
        <v>5</v>
      </c>
      <c r="X21" t="s">
        <v>367</v>
      </c>
    </row>
    <row r="22" spans="1:37">
      <c r="A22" s="125"/>
      <c r="B22" s="125"/>
      <c r="C22" s="125"/>
      <c r="D22" s="125"/>
      <c r="L22" s="144"/>
      <c r="M22" s="144"/>
      <c r="N22" s="144"/>
      <c r="O22" s="144"/>
      <c r="P22" s="126" t="str">
        <f>C13</f>
        <v/>
      </c>
      <c r="Q22" s="126" t="str">
        <f>C14</f>
        <v/>
      </c>
      <c r="R22" s="126" t="str">
        <f>C15</f>
        <v/>
      </c>
      <c r="S22" s="126" t="str">
        <f>C16</f>
        <v/>
      </c>
      <c r="T22" s="126" t="str">
        <f>C17</f>
        <v/>
      </c>
      <c r="U22" s="126" t="str">
        <f>C18</f>
        <v/>
      </c>
      <c r="V22" t="s">
        <v>54</v>
      </c>
      <c r="X22" s="126"/>
      <c r="Y22" s="126" t="s">
        <v>340</v>
      </c>
      <c r="Z22" s="126" t="s">
        <v>134</v>
      </c>
      <c r="AA22" s="126" t="s">
        <v>341</v>
      </c>
      <c r="AB22" s="126" t="s">
        <v>50</v>
      </c>
      <c r="AC22" s="126" t="s">
        <v>236</v>
      </c>
      <c r="AD22" s="126" t="s">
        <v>342</v>
      </c>
      <c r="AE22" s="126" t="s">
        <v>20</v>
      </c>
      <c r="AF22" s="126" t="s">
        <v>343</v>
      </c>
      <c r="AG22" s="126" t="s">
        <v>344</v>
      </c>
      <c r="AH22" s="126" t="s">
        <v>67</v>
      </c>
      <c r="AI22" s="126" t="s">
        <v>338</v>
      </c>
      <c r="AJ22" s="126" t="s">
        <v>339</v>
      </c>
    </row>
    <row r="23" spans="1:37">
      <c r="A23" s="126" t="s">
        <v>18</v>
      </c>
      <c r="B23" s="124">
        <f>COUNTIF('入力・結果表示シート'!C29:C34,"○")</f>
        <v>0</v>
      </c>
      <c r="C23" s="124">
        <f>(COUNTIF($B$3:$B$8,"&gt;0")+COUNTIF($C$3:$C$8,"&gt;0")-(IF(AND($B$3&gt;0,$C$3&gt;0),1,0)+IF(AND($B$4&gt;0,$C$4&gt;0),1,0)+IF(AND($B$5&gt;0,$C$5&gt;0),1,0)+IF(AND($B$6&gt;0,$C$6&gt;0),1,0)+IF(AND($B$7&gt;0,$C$7&gt;0),1,0)+IF(AND($B$8&gt;0,$C$8&gt;0),1,0)))</f>
        <v>0</v>
      </c>
      <c r="D23" s="157">
        <f>$D$25+560000*$B$23</f>
        <v>430000</v>
      </c>
      <c r="E23" s="164">
        <f>IF($E$19&lt;=D23,2,"")</f>
        <v>2</v>
      </c>
      <c r="L23" s="144"/>
      <c r="M23" s="144"/>
      <c r="N23" s="144"/>
      <c r="O23" s="144"/>
      <c r="P23" s="126">
        <f>'入力・結果表示シート'!J29</f>
        <v>0</v>
      </c>
      <c r="Q23" s="126">
        <f>'入力・結果表示シート'!J30</f>
        <v>0</v>
      </c>
      <c r="R23" s="126">
        <f>'入力・結果表示シート'!J31</f>
        <v>0</v>
      </c>
      <c r="S23" s="126">
        <f>'入力・結果表示シート'!J32</f>
        <v>0</v>
      </c>
      <c r="T23" s="126">
        <f>'入力・結果表示シート'!J33</f>
        <v>0</v>
      </c>
      <c r="U23" s="126">
        <f>'入力・結果表示シート'!J34</f>
        <v>0</v>
      </c>
      <c r="V23" t="s">
        <v>42</v>
      </c>
      <c r="X23" s="35" t="s">
        <v>9</v>
      </c>
      <c r="Y23" s="131" t="str">
        <f t="shared" ref="Y23:Y28" si="29">IFERROR(DATEDIF(B13,"2025/4/30","y"),"")</f>
        <v/>
      </c>
      <c r="Z23" s="131" t="str">
        <f t="shared" ref="Z23:Z28" si="30">IFERROR(DATEDIF(B13,"2025/5/31","y"),"")</f>
        <v/>
      </c>
      <c r="AA23" s="131" t="str">
        <f t="shared" ref="AA23:AA28" si="31">IFERROR(DATEDIF(B13,"2025/6/30","y"),"")</f>
        <v/>
      </c>
      <c r="AB23" s="131" t="str">
        <f t="shared" ref="AB23:AB28" si="32">IFERROR(DATEDIF(B13,"2025/7/31","y"),"")</f>
        <v/>
      </c>
      <c r="AC23" s="131" t="str">
        <f t="shared" ref="AC23:AC28" si="33">IFERROR(DATEDIF(B13,"2025/8/31","y"),"")</f>
        <v/>
      </c>
      <c r="AD23" s="131" t="str">
        <f t="shared" ref="AD23:AD28" si="34">IFERROR(DATEDIF(B13,"2025/9/30","y"),"")</f>
        <v/>
      </c>
      <c r="AE23" s="131" t="str">
        <f t="shared" ref="AE23:AE28" si="35">IFERROR(DATEDIF(B13,"2025/10/31","y"),"")</f>
        <v/>
      </c>
      <c r="AF23" s="131" t="str">
        <f t="shared" ref="AF23:AF28" si="36">IFERROR(DATEDIF(B13,"2025/11/30","y"),"")</f>
        <v/>
      </c>
      <c r="AG23" s="131" t="str">
        <f t="shared" ref="AG23:AG28" si="37">IFERROR(DATEDIF(B13,"2025/12/31","y"),"")</f>
        <v/>
      </c>
      <c r="AH23" s="131" t="str">
        <f t="shared" ref="AH23:AH28" si="38">IFERROR(DATEDIF(B13,"2026/1/31","y"),"")</f>
        <v/>
      </c>
      <c r="AI23" s="131" t="str">
        <f t="shared" ref="AI23:AI28" si="39">IFERROR(DATEDIF(B13,"2026/2/28","y"),"")</f>
        <v/>
      </c>
      <c r="AJ23" s="131" t="str">
        <f t="shared" ref="AJ23:AJ28" si="40">IFERROR(DATEDIF(B13,"2026/3/31","y"),"")</f>
        <v/>
      </c>
    </row>
    <row r="24" spans="1:37" ht="14.25">
      <c r="A24" s="126" t="s">
        <v>75</v>
      </c>
      <c r="B24" s="127"/>
      <c r="C24" s="127"/>
      <c r="D24" s="157">
        <f>$D$25+305000*$B$23</f>
        <v>430000</v>
      </c>
      <c r="E24" s="164">
        <f>IF($E$19&lt;=D24,5,"")</f>
        <v>5</v>
      </c>
      <c r="L24" s="144" t="s">
        <v>69</v>
      </c>
      <c r="M24" s="133"/>
      <c r="N24" s="35" t="s">
        <v>60</v>
      </c>
      <c r="O24" s="133">
        <v>1300000</v>
      </c>
      <c r="P24" s="133" t="str">
        <f t="shared" ref="P24:U24" si="41">IF(AND(P22&lt;65,P23&lt;=$O$24),600000,"")</f>
        <v/>
      </c>
      <c r="Q24" s="133" t="str">
        <f t="shared" si="41"/>
        <v/>
      </c>
      <c r="R24" s="133" t="str">
        <f t="shared" si="41"/>
        <v/>
      </c>
      <c r="S24" s="133" t="str">
        <f t="shared" si="41"/>
        <v/>
      </c>
      <c r="T24" s="133" t="str">
        <f t="shared" si="41"/>
        <v/>
      </c>
      <c r="U24" s="133" t="str">
        <f t="shared" si="41"/>
        <v/>
      </c>
      <c r="X24" s="35" t="s">
        <v>11</v>
      </c>
      <c r="Y24" s="131" t="str">
        <f t="shared" si="29"/>
        <v/>
      </c>
      <c r="Z24" s="131" t="str">
        <f t="shared" si="30"/>
        <v/>
      </c>
      <c r="AA24" s="131" t="str">
        <f t="shared" si="31"/>
        <v/>
      </c>
      <c r="AB24" s="131" t="str">
        <f t="shared" si="32"/>
        <v/>
      </c>
      <c r="AC24" s="131" t="str">
        <f t="shared" si="33"/>
        <v/>
      </c>
      <c r="AD24" s="131" t="str">
        <f t="shared" si="34"/>
        <v/>
      </c>
      <c r="AE24" s="131" t="str">
        <f t="shared" si="35"/>
        <v/>
      </c>
      <c r="AF24" s="131" t="str">
        <f t="shared" si="36"/>
        <v/>
      </c>
      <c r="AG24" s="131" t="str">
        <f t="shared" si="37"/>
        <v/>
      </c>
      <c r="AH24" s="131" t="str">
        <f t="shared" si="38"/>
        <v/>
      </c>
      <c r="AI24" s="131" t="str">
        <f t="shared" si="39"/>
        <v/>
      </c>
      <c r="AJ24" s="131" t="str">
        <f t="shared" si="40"/>
        <v/>
      </c>
    </row>
    <row r="25" spans="1:37" ht="14.25">
      <c r="A25" s="126" t="s">
        <v>59</v>
      </c>
      <c r="B25" s="125"/>
      <c r="C25" s="125"/>
      <c r="D25" s="133">
        <f>430000+100000*(IF(C23-1&lt;0,0,C23-1))</f>
        <v>430000</v>
      </c>
      <c r="E25" s="164">
        <f>IF($E$19&lt;=D25,7,"")</f>
        <v>7</v>
      </c>
      <c r="F25" s="123" t="s">
        <v>77</v>
      </c>
      <c r="G25" s="167">
        <f>MAX(E23:E25)</f>
        <v>7</v>
      </c>
      <c r="H25" s="169" t="s">
        <v>70</v>
      </c>
      <c r="L25" s="35"/>
      <c r="M25" s="133">
        <v>1300001</v>
      </c>
      <c r="N25" s="35" t="s">
        <v>60</v>
      </c>
      <c r="O25" s="133">
        <v>4100000</v>
      </c>
      <c r="P25" s="133" t="str">
        <f t="shared" ref="P25:U25" si="42">IF(AND(P22&lt;65,$M$25&lt;=P23,P23&lt;=$O$25),ROUNDDOWN(P23*0.25+275000,0),"")</f>
        <v/>
      </c>
      <c r="Q25" s="133" t="str">
        <f t="shared" si="42"/>
        <v/>
      </c>
      <c r="R25" s="133" t="str">
        <f t="shared" si="42"/>
        <v/>
      </c>
      <c r="S25" s="133" t="str">
        <f t="shared" si="42"/>
        <v/>
      </c>
      <c r="T25" s="133" t="str">
        <f t="shared" si="42"/>
        <v/>
      </c>
      <c r="U25" s="133" t="str">
        <f t="shared" si="42"/>
        <v/>
      </c>
      <c r="X25" s="35" t="s">
        <v>12</v>
      </c>
      <c r="Y25" s="131" t="str">
        <f t="shared" si="29"/>
        <v/>
      </c>
      <c r="Z25" s="131" t="str">
        <f t="shared" si="30"/>
        <v/>
      </c>
      <c r="AA25" s="131" t="str">
        <f t="shared" si="31"/>
        <v/>
      </c>
      <c r="AB25" s="131" t="str">
        <f t="shared" si="32"/>
        <v/>
      </c>
      <c r="AC25" s="131" t="str">
        <f t="shared" si="33"/>
        <v/>
      </c>
      <c r="AD25" s="131" t="str">
        <f t="shared" si="34"/>
        <v/>
      </c>
      <c r="AE25" s="131" t="str">
        <f t="shared" si="35"/>
        <v/>
      </c>
      <c r="AF25" s="131" t="str">
        <f t="shared" si="36"/>
        <v/>
      </c>
      <c r="AG25" s="131" t="str">
        <f t="shared" si="37"/>
        <v/>
      </c>
      <c r="AH25" s="131" t="str">
        <f t="shared" si="38"/>
        <v/>
      </c>
      <c r="AI25" s="131" t="str">
        <f t="shared" si="39"/>
        <v/>
      </c>
      <c r="AJ25" s="131" t="str">
        <f t="shared" si="40"/>
        <v/>
      </c>
    </row>
    <row r="26" spans="1:37">
      <c r="L26" s="35"/>
      <c r="M26" s="133">
        <v>4100001</v>
      </c>
      <c r="N26" s="35" t="s">
        <v>60</v>
      </c>
      <c r="O26" s="133">
        <v>7700000</v>
      </c>
      <c r="P26" s="133" t="str">
        <f t="shared" ref="P26:U26" si="43">IF(AND(P22&lt;65,$M$26&lt;=P23,P23&lt;=$O$26),ROUNDDOWN(P23*0.15+685000,0),"")</f>
        <v/>
      </c>
      <c r="Q26" s="133" t="str">
        <f t="shared" si="43"/>
        <v/>
      </c>
      <c r="R26" s="133" t="str">
        <f t="shared" si="43"/>
        <v/>
      </c>
      <c r="S26" s="133" t="str">
        <f t="shared" si="43"/>
        <v/>
      </c>
      <c r="T26" s="133" t="str">
        <f t="shared" si="43"/>
        <v/>
      </c>
      <c r="U26" s="133" t="str">
        <f t="shared" si="43"/>
        <v/>
      </c>
      <c r="X26" s="35" t="s">
        <v>15</v>
      </c>
      <c r="Y26" s="131" t="str">
        <f t="shared" si="29"/>
        <v/>
      </c>
      <c r="Z26" s="131" t="str">
        <f t="shared" si="30"/>
        <v/>
      </c>
      <c r="AA26" s="131" t="str">
        <f t="shared" si="31"/>
        <v/>
      </c>
      <c r="AB26" s="131" t="str">
        <f t="shared" si="32"/>
        <v/>
      </c>
      <c r="AC26" s="131" t="str">
        <f t="shared" si="33"/>
        <v/>
      </c>
      <c r="AD26" s="131" t="str">
        <f t="shared" si="34"/>
        <v/>
      </c>
      <c r="AE26" s="131" t="str">
        <f t="shared" si="35"/>
        <v/>
      </c>
      <c r="AF26" s="131" t="str">
        <f t="shared" si="36"/>
        <v/>
      </c>
      <c r="AG26" s="131" t="str">
        <f t="shared" si="37"/>
        <v/>
      </c>
      <c r="AH26" s="131" t="str">
        <f t="shared" si="38"/>
        <v/>
      </c>
      <c r="AI26" s="131" t="str">
        <f t="shared" si="39"/>
        <v/>
      </c>
      <c r="AJ26" s="131" t="str">
        <f t="shared" si="40"/>
        <v/>
      </c>
    </row>
    <row r="27" spans="1:37">
      <c r="L27" s="35"/>
      <c r="M27" s="133">
        <v>7700001</v>
      </c>
      <c r="N27" s="35" t="s">
        <v>60</v>
      </c>
      <c r="O27" s="133">
        <v>10000000</v>
      </c>
      <c r="P27" s="133" t="str">
        <f t="shared" ref="P27:U27" si="44">IF(AND(P22&lt;65,$M$27&lt;=P23,P23&lt;=$O$27),ROUNDDOWN(P23*0.05+1455000,0),"")</f>
        <v/>
      </c>
      <c r="Q27" s="133" t="str">
        <f t="shared" si="44"/>
        <v/>
      </c>
      <c r="R27" s="133" t="str">
        <f t="shared" si="44"/>
        <v/>
      </c>
      <c r="S27" s="133" t="str">
        <f t="shared" si="44"/>
        <v/>
      </c>
      <c r="T27" s="133" t="str">
        <f t="shared" si="44"/>
        <v/>
      </c>
      <c r="U27" s="133" t="str">
        <f t="shared" si="44"/>
        <v/>
      </c>
      <c r="X27" s="35" t="s">
        <v>10</v>
      </c>
      <c r="Y27" s="131" t="str">
        <f t="shared" si="29"/>
        <v/>
      </c>
      <c r="Z27" s="131" t="str">
        <f t="shared" si="30"/>
        <v/>
      </c>
      <c r="AA27" s="131" t="str">
        <f t="shared" si="31"/>
        <v/>
      </c>
      <c r="AB27" s="131" t="str">
        <f t="shared" si="32"/>
        <v/>
      </c>
      <c r="AC27" s="131" t="str">
        <f t="shared" si="33"/>
        <v/>
      </c>
      <c r="AD27" s="131" t="str">
        <f t="shared" si="34"/>
        <v/>
      </c>
      <c r="AE27" s="131" t="str">
        <f t="shared" si="35"/>
        <v/>
      </c>
      <c r="AF27" s="131" t="str">
        <f t="shared" si="36"/>
        <v/>
      </c>
      <c r="AG27" s="131" t="str">
        <f t="shared" si="37"/>
        <v/>
      </c>
      <c r="AH27" s="131" t="str">
        <f t="shared" si="38"/>
        <v/>
      </c>
      <c r="AI27" s="131" t="str">
        <f t="shared" si="39"/>
        <v/>
      </c>
      <c r="AJ27" s="131" t="str">
        <f t="shared" si="40"/>
        <v/>
      </c>
    </row>
    <row r="28" spans="1:37">
      <c r="A28" t="s">
        <v>1</v>
      </c>
      <c r="L28" s="35"/>
      <c r="M28" s="133">
        <v>10000001</v>
      </c>
      <c r="N28" s="35"/>
      <c r="O28" s="133"/>
      <c r="P28" s="133" t="str">
        <f t="shared" ref="P28:U28" si="45">IF(AND(P22&lt;65,$M$28&lt;=P23),1955000,"")</f>
        <v/>
      </c>
      <c r="Q28" s="133" t="str">
        <f t="shared" si="45"/>
        <v/>
      </c>
      <c r="R28" s="133" t="str">
        <f t="shared" si="45"/>
        <v/>
      </c>
      <c r="S28" s="133" t="str">
        <f t="shared" si="45"/>
        <v/>
      </c>
      <c r="T28" s="133" t="str">
        <f t="shared" si="45"/>
        <v/>
      </c>
      <c r="U28" s="133" t="str">
        <f t="shared" si="45"/>
        <v/>
      </c>
      <c r="X28" s="35" t="s">
        <v>5</v>
      </c>
      <c r="Y28" s="131" t="str">
        <f t="shared" si="29"/>
        <v/>
      </c>
      <c r="Z28" s="131" t="str">
        <f t="shared" si="30"/>
        <v/>
      </c>
      <c r="AA28" s="131" t="str">
        <f t="shared" si="31"/>
        <v/>
      </c>
      <c r="AB28" s="131" t="str">
        <f t="shared" si="32"/>
        <v/>
      </c>
      <c r="AC28" s="131" t="str">
        <f t="shared" si="33"/>
        <v/>
      </c>
      <c r="AD28" s="131" t="str">
        <f t="shared" si="34"/>
        <v/>
      </c>
      <c r="AE28" s="131" t="str">
        <f t="shared" si="35"/>
        <v/>
      </c>
      <c r="AF28" s="131" t="str">
        <f t="shared" si="36"/>
        <v/>
      </c>
      <c r="AG28" s="131" t="str">
        <f t="shared" si="37"/>
        <v/>
      </c>
      <c r="AH28" s="131" t="str">
        <f t="shared" si="38"/>
        <v/>
      </c>
      <c r="AI28" s="131" t="str">
        <f t="shared" si="39"/>
        <v/>
      </c>
      <c r="AJ28" s="131" t="str">
        <f t="shared" si="40"/>
        <v/>
      </c>
    </row>
    <row r="29" spans="1:37">
      <c r="A29" s="124" t="s">
        <v>52</v>
      </c>
      <c r="B29" s="124" t="s">
        <v>36</v>
      </c>
      <c r="C29" s="146" t="s">
        <v>83</v>
      </c>
      <c r="D29" s="146" t="s">
        <v>84</v>
      </c>
      <c r="E29" s="146" t="s">
        <v>86</v>
      </c>
      <c r="L29" s="144" t="s">
        <v>30</v>
      </c>
      <c r="M29" s="133"/>
      <c r="N29" s="35" t="s">
        <v>60</v>
      </c>
      <c r="O29" s="133">
        <v>3300000</v>
      </c>
      <c r="P29" s="133">
        <f t="shared" ref="P29:U29" si="46">IF(AND(65&lt;=P22,P23&lt;=$O$29),1100000,"")</f>
        <v>1100000</v>
      </c>
      <c r="Q29" s="133">
        <f t="shared" si="46"/>
        <v>1100000</v>
      </c>
      <c r="R29" s="133">
        <f t="shared" si="46"/>
        <v>1100000</v>
      </c>
      <c r="S29" s="133">
        <f t="shared" si="46"/>
        <v>1100000</v>
      </c>
      <c r="T29" s="133">
        <f t="shared" si="46"/>
        <v>1100000</v>
      </c>
      <c r="U29" s="133">
        <f t="shared" si="46"/>
        <v>1100000</v>
      </c>
    </row>
    <row r="30" spans="1:37">
      <c r="A30" s="125"/>
      <c r="B30" s="125"/>
      <c r="C30" s="125"/>
      <c r="D30" s="125"/>
      <c r="E30" s="125"/>
      <c r="L30" s="35"/>
      <c r="M30" s="133">
        <v>3300001</v>
      </c>
      <c r="N30" s="35" t="s">
        <v>60</v>
      </c>
      <c r="O30" s="133">
        <v>4100000</v>
      </c>
      <c r="P30" s="133" t="str">
        <f t="shared" ref="P30:U30" si="47">IF(AND(P22&gt;=65,$M$30&lt;=P23,P23&lt;=$O$30),ROUNDDOWN(P23*0.25+275000,0),"")</f>
        <v/>
      </c>
      <c r="Q30" s="133" t="str">
        <f t="shared" si="47"/>
        <v/>
      </c>
      <c r="R30" s="133" t="str">
        <f t="shared" si="47"/>
        <v/>
      </c>
      <c r="S30" s="133" t="str">
        <f t="shared" si="47"/>
        <v/>
      </c>
      <c r="T30" s="133" t="str">
        <f t="shared" si="47"/>
        <v/>
      </c>
      <c r="U30" s="133" t="str">
        <f t="shared" si="47"/>
        <v/>
      </c>
      <c r="X30" t="s">
        <v>153</v>
      </c>
    </row>
    <row r="31" spans="1:37">
      <c r="A31" s="35" t="s">
        <v>9</v>
      </c>
      <c r="B31" s="135" t="str">
        <f t="shared" ref="B31:B36" si="48">B13</f>
        <v/>
      </c>
      <c r="C31" s="147">
        <v>46112</v>
      </c>
      <c r="D31" s="126">
        <f>IF('入力・結果表示シート'!C29="○",DATEDIF(B31,$C$31+1,"y"),0)</f>
        <v>0</v>
      </c>
      <c r="E31" s="126">
        <f>IF(AND('入力・結果表示シート'!C29="○",D31&lt;7),(10-$G$25)/2,0)</f>
        <v>0</v>
      </c>
      <c r="L31" s="35"/>
      <c r="M31" s="133">
        <v>4100001</v>
      </c>
      <c r="N31" s="35" t="s">
        <v>60</v>
      </c>
      <c r="O31" s="133">
        <v>7700000</v>
      </c>
      <c r="P31" s="133" t="str">
        <f t="shared" ref="P31:U31" si="49">IF(AND(P22&gt;=65,$M$31&lt;=P23,P23&lt;=$O$31),ROUNDDOWN(P23*0.15+685000,0),"")</f>
        <v/>
      </c>
      <c r="Q31" s="133" t="str">
        <f t="shared" si="49"/>
        <v/>
      </c>
      <c r="R31" s="133" t="str">
        <f t="shared" si="49"/>
        <v/>
      </c>
      <c r="S31" s="133" t="str">
        <f t="shared" si="49"/>
        <v/>
      </c>
      <c r="T31" s="133" t="str">
        <f t="shared" si="49"/>
        <v/>
      </c>
      <c r="U31" s="133" t="str">
        <f t="shared" si="49"/>
        <v/>
      </c>
      <c r="X31" s="126"/>
      <c r="Y31" s="126" t="s">
        <v>340</v>
      </c>
      <c r="Z31" s="126" t="s">
        <v>134</v>
      </c>
      <c r="AA31" s="126" t="s">
        <v>341</v>
      </c>
      <c r="AB31" s="126" t="s">
        <v>50</v>
      </c>
      <c r="AC31" s="126" t="s">
        <v>236</v>
      </c>
      <c r="AD31" s="126" t="s">
        <v>342</v>
      </c>
      <c r="AE31" s="126" t="s">
        <v>20</v>
      </c>
      <c r="AF31" s="126" t="s">
        <v>343</v>
      </c>
      <c r="AG31" s="126" t="s">
        <v>344</v>
      </c>
      <c r="AH31" s="126" t="s">
        <v>67</v>
      </c>
      <c r="AI31" s="126" t="s">
        <v>338</v>
      </c>
      <c r="AJ31" s="126" t="s">
        <v>339</v>
      </c>
    </row>
    <row r="32" spans="1:37">
      <c r="A32" s="35" t="s">
        <v>11</v>
      </c>
      <c r="B32" s="135" t="str">
        <f t="shared" si="48"/>
        <v/>
      </c>
      <c r="C32" s="148"/>
      <c r="D32" s="126">
        <f>IF('入力・結果表示シート'!C30="○",DATEDIF(B32,$C$31+1,"y"),0)</f>
        <v>0</v>
      </c>
      <c r="E32" s="126">
        <f>IF(AND('入力・結果表示シート'!C30="○",D32&lt;7),(10-$G$25)/2,0)</f>
        <v>0</v>
      </c>
      <c r="L32" s="35"/>
      <c r="M32" s="133">
        <v>7700001</v>
      </c>
      <c r="N32" s="35" t="s">
        <v>60</v>
      </c>
      <c r="O32" s="133">
        <v>10000000</v>
      </c>
      <c r="P32" s="133" t="str">
        <f t="shared" ref="P32:U32" si="50">IF(AND(P22&gt;=65,$M$32&lt;=P23,P23&lt;=$O$32),ROUNDDOWN(P23*0.05+1455000,0),"")</f>
        <v/>
      </c>
      <c r="Q32" s="133" t="str">
        <f t="shared" si="50"/>
        <v/>
      </c>
      <c r="R32" s="133" t="str">
        <f t="shared" si="50"/>
        <v/>
      </c>
      <c r="S32" s="133" t="str">
        <f t="shared" si="50"/>
        <v/>
      </c>
      <c r="T32" s="133" t="str">
        <f t="shared" si="50"/>
        <v/>
      </c>
      <c r="U32" s="133" t="str">
        <f t="shared" si="50"/>
        <v/>
      </c>
      <c r="X32" s="35" t="s">
        <v>9</v>
      </c>
      <c r="Y32" s="126">
        <f>IF('入力・結果表示シート'!$C$29="○",IF(Y23&lt;=74,1,0),0)</f>
        <v>0</v>
      </c>
      <c r="Z32" s="126">
        <f>IF('入力・結果表示シート'!$C$29="○",IF(Z23&lt;=74,1,0),0)</f>
        <v>0</v>
      </c>
      <c r="AA32" s="126">
        <f>IF('入力・結果表示シート'!$C$29="○",IF(AA23&lt;=74,1,0),0)</f>
        <v>0</v>
      </c>
      <c r="AB32" s="126">
        <f>IF('入力・結果表示シート'!$C$29="○",IF(AB23&lt;=74,1,0),0)</f>
        <v>0</v>
      </c>
      <c r="AC32" s="126">
        <f>IF('入力・結果表示シート'!$C$29="○",IF(AC23&lt;=74,1,0),0)</f>
        <v>0</v>
      </c>
      <c r="AD32" s="126">
        <f>IF('入力・結果表示シート'!$C$29="○",IF(AD23&lt;=74,1,0),0)</f>
        <v>0</v>
      </c>
      <c r="AE32" s="126">
        <f>IF('入力・結果表示シート'!$C$29="○",IF(AE23&lt;=74,1,0),0)</f>
        <v>0</v>
      </c>
      <c r="AF32" s="126">
        <f>IF('入力・結果表示シート'!$C$29="○",IF(AF23&lt;=74,1,0),0)</f>
        <v>0</v>
      </c>
      <c r="AG32" s="126">
        <f>IF('入力・結果表示シート'!$C$29="○",IF(AG23&lt;=74,1,0),0)</f>
        <v>0</v>
      </c>
      <c r="AH32" s="126">
        <f>IF('入力・結果表示シート'!$C$29="○",IF(AH23&lt;=74,1,0),0)</f>
        <v>0</v>
      </c>
      <c r="AI32" s="126">
        <f>IF('入力・結果表示シート'!$C$29="○",IF(AI23&lt;=74,1,0),0)</f>
        <v>0</v>
      </c>
      <c r="AJ32" s="126">
        <f>IF('入力・結果表示シート'!$C$29="○",IF(AJ23&lt;=74,1,0),0)</f>
        <v>0</v>
      </c>
      <c r="AK32">
        <f t="shared" ref="AK32:AK37" si="51">SUM(Y32:AJ32)</f>
        <v>0</v>
      </c>
    </row>
    <row r="33" spans="1:37">
      <c r="A33" s="35" t="s">
        <v>12</v>
      </c>
      <c r="B33" s="135" t="str">
        <f t="shared" si="48"/>
        <v/>
      </c>
      <c r="C33" s="148"/>
      <c r="D33" s="126">
        <f>IF('入力・結果表示シート'!C31="○",DATEDIF(B33,$C$31+1,"y"),0)</f>
        <v>0</v>
      </c>
      <c r="E33" s="126">
        <f>IF(AND('入力・結果表示シート'!C31="○",D33&lt;7),(10-$G$25)/2,0)</f>
        <v>0</v>
      </c>
      <c r="L33" s="35"/>
      <c r="M33" s="133">
        <v>10000001</v>
      </c>
      <c r="N33" s="35"/>
      <c r="O33" s="133"/>
      <c r="P33" s="133" t="str">
        <f t="shared" ref="P33:U33" si="52">IF(AND(P22&gt;=65,$M$33&lt;=P23),1955000,"")</f>
        <v/>
      </c>
      <c r="Q33" s="133" t="str">
        <f t="shared" si="52"/>
        <v/>
      </c>
      <c r="R33" s="133" t="str">
        <f t="shared" si="52"/>
        <v/>
      </c>
      <c r="S33" s="133" t="str">
        <f t="shared" si="52"/>
        <v/>
      </c>
      <c r="T33" s="133" t="str">
        <f t="shared" si="52"/>
        <v/>
      </c>
      <c r="U33" s="133" t="str">
        <f t="shared" si="52"/>
        <v/>
      </c>
      <c r="X33" s="35" t="s">
        <v>11</v>
      </c>
      <c r="Y33" s="126">
        <f>IF('入力・結果表示シート'!$C$30="○",IF(Y24&lt;=74,1,0),0)</f>
        <v>0</v>
      </c>
      <c r="Z33" s="126">
        <f>IF('入力・結果表示シート'!$C$30="○",IF(Z24&lt;=74,1,0),0)</f>
        <v>0</v>
      </c>
      <c r="AA33" s="126">
        <f>IF('入力・結果表示シート'!$C$30="○",IF(AA24&lt;=74,1,0),0)</f>
        <v>0</v>
      </c>
      <c r="AB33" s="126">
        <f>IF('入力・結果表示シート'!$C$30="○",IF(AB24&lt;=74,1,0),0)</f>
        <v>0</v>
      </c>
      <c r="AC33" s="126">
        <f>IF('入力・結果表示シート'!$C$30="○",IF(AC24&lt;=74,1,0),0)</f>
        <v>0</v>
      </c>
      <c r="AD33" s="126">
        <f>IF('入力・結果表示シート'!$C$30="○",IF(AD24&lt;=74,1,0),0)</f>
        <v>0</v>
      </c>
      <c r="AE33" s="126">
        <f>IF('入力・結果表示シート'!$C$30="○",IF(AE24&lt;=74,1,0),0)</f>
        <v>0</v>
      </c>
      <c r="AF33" s="126">
        <f>IF('入力・結果表示シート'!$C$30="○",IF(AF24&lt;=74,1,0),0)</f>
        <v>0</v>
      </c>
      <c r="AG33" s="126">
        <f>IF('入力・結果表示シート'!$C$30="○",IF(AG24&lt;=74,1,0),0)</f>
        <v>0</v>
      </c>
      <c r="AH33" s="126">
        <f>IF('入力・結果表示シート'!$C$30="○",IF(AH24&lt;=74,1,0),0)</f>
        <v>0</v>
      </c>
      <c r="AI33" s="126">
        <f>IF('入力・結果表示シート'!$C$30="○",IF(AI24&lt;=74,1,0),0)</f>
        <v>0</v>
      </c>
      <c r="AJ33" s="126">
        <f>IF('入力・結果表示シート'!$C$30="○",IF(AJ24&lt;=74,1,0),0)</f>
        <v>0</v>
      </c>
      <c r="AK33">
        <f t="shared" si="51"/>
        <v>0</v>
      </c>
    </row>
    <row r="34" spans="1:37">
      <c r="A34" s="35" t="s">
        <v>15</v>
      </c>
      <c r="B34" s="135" t="str">
        <f t="shared" si="48"/>
        <v/>
      </c>
      <c r="C34" s="148"/>
      <c r="D34" s="126">
        <f>IF('入力・結果表示シート'!C32="○",DATEDIF(B34,$C$31+1,"y"),0)</f>
        <v>0</v>
      </c>
      <c r="E34" s="126">
        <f>IF(AND('入力・結果表示シート'!C32="○",D34&lt;7),(10-$G$25)/2,0)</f>
        <v>0</v>
      </c>
      <c r="O34" s="181" t="s">
        <v>71</v>
      </c>
      <c r="P34" s="133">
        <f t="shared" ref="P34:U34" si="53">SUM(P24:P33)</f>
        <v>1100000</v>
      </c>
      <c r="Q34" s="133">
        <f t="shared" si="53"/>
        <v>1100000</v>
      </c>
      <c r="R34" s="133">
        <f t="shared" si="53"/>
        <v>1100000</v>
      </c>
      <c r="S34" s="133">
        <f t="shared" si="53"/>
        <v>1100000</v>
      </c>
      <c r="T34" s="133">
        <f t="shared" si="53"/>
        <v>1100000</v>
      </c>
      <c r="U34" s="133">
        <f t="shared" si="53"/>
        <v>1100000</v>
      </c>
      <c r="X34" s="35" t="s">
        <v>12</v>
      </c>
      <c r="Y34" s="126">
        <f>IF('入力・結果表示シート'!$C$31="○",IF(Y25&lt;=74,1,0),0)</f>
        <v>0</v>
      </c>
      <c r="Z34" s="126">
        <f>IF('入力・結果表示シート'!$C$31="○",IF(Z25&lt;=74,1,0),0)</f>
        <v>0</v>
      </c>
      <c r="AA34" s="126">
        <f>IF('入力・結果表示シート'!$C$31="○",IF(AA25&lt;=74,1,0),0)</f>
        <v>0</v>
      </c>
      <c r="AB34" s="126">
        <f>IF('入力・結果表示シート'!$C$31="○",IF(AB25&lt;=74,1,0),0)</f>
        <v>0</v>
      </c>
      <c r="AC34" s="126">
        <f>IF('入力・結果表示シート'!$C$31="○",IF(AC25&lt;=74,1,0),0)</f>
        <v>0</v>
      </c>
      <c r="AD34" s="126">
        <f>IF('入力・結果表示シート'!$C$31="○",IF(AD25&lt;=74,1,0),0)</f>
        <v>0</v>
      </c>
      <c r="AE34" s="126">
        <f>IF('入力・結果表示シート'!$C$31="○",IF(AE25&lt;=74,1,0),0)</f>
        <v>0</v>
      </c>
      <c r="AF34" s="126">
        <f>IF('入力・結果表示シート'!$C$31="○",IF(AF25&lt;=74,1,0),0)</f>
        <v>0</v>
      </c>
      <c r="AG34" s="126">
        <f>IF('入力・結果表示シート'!$C$31="○",IF(AG25&lt;=74,1,0),0)</f>
        <v>0</v>
      </c>
      <c r="AH34" s="126">
        <f>IF('入力・結果表示シート'!$C$31="○",IF(AH25&lt;=74,1,0),0)</f>
        <v>0</v>
      </c>
      <c r="AI34" s="126">
        <f>IF('入力・結果表示シート'!$C$31="○",IF(AI25&lt;=74,1,0),0)</f>
        <v>0</v>
      </c>
      <c r="AJ34" s="126">
        <f>IF('入力・結果表示シート'!$C$31="○",IF(AJ25&lt;=74,1,0),0)</f>
        <v>0</v>
      </c>
      <c r="AK34">
        <f t="shared" si="51"/>
        <v>0</v>
      </c>
    </row>
    <row r="35" spans="1:37">
      <c r="A35" s="35" t="s">
        <v>10</v>
      </c>
      <c r="B35" s="135" t="str">
        <f t="shared" si="48"/>
        <v/>
      </c>
      <c r="C35" s="148"/>
      <c r="D35" s="126">
        <f>IF('入力・結果表示シート'!C33="○",DATEDIF(B35,$C$31+1,"y"),0)</f>
        <v>0</v>
      </c>
      <c r="E35" s="126">
        <f>IF(AND('入力・結果表示シート'!C33="○",D35&lt;7),(10-$G$25)/2,0)</f>
        <v>0</v>
      </c>
      <c r="O35" s="181" t="s">
        <v>23</v>
      </c>
      <c r="P35" s="133">
        <f t="shared" ref="P35:U35" si="54">IF(P23-P34&gt;=0,P23-P34,0)</f>
        <v>0</v>
      </c>
      <c r="Q35" s="133">
        <f t="shared" si="54"/>
        <v>0</v>
      </c>
      <c r="R35" s="133">
        <f t="shared" si="54"/>
        <v>0</v>
      </c>
      <c r="S35" s="133">
        <f t="shared" si="54"/>
        <v>0</v>
      </c>
      <c r="T35" s="133">
        <f t="shared" si="54"/>
        <v>0</v>
      </c>
      <c r="U35" s="133">
        <f t="shared" si="54"/>
        <v>0</v>
      </c>
      <c r="X35" s="35" t="s">
        <v>15</v>
      </c>
      <c r="Y35" s="126">
        <f>IF('入力・結果表示シート'!$C$32="○",IF(Y26&lt;=74,1,0),0)</f>
        <v>0</v>
      </c>
      <c r="Z35" s="126">
        <f>IF('入力・結果表示シート'!$C$32="○",IF(Z26&lt;=74,1,0),0)</f>
        <v>0</v>
      </c>
      <c r="AA35" s="126">
        <f>IF('入力・結果表示シート'!$C$32="○",IF(AA26&lt;=74,1,0),0)</f>
        <v>0</v>
      </c>
      <c r="AB35" s="126">
        <f>IF('入力・結果表示シート'!$C$32="○",IF(AB26&lt;=74,1,0),0)</f>
        <v>0</v>
      </c>
      <c r="AC35" s="126">
        <f>IF('入力・結果表示シート'!$C$32="○",IF(AC26&lt;=74,1,0),0)</f>
        <v>0</v>
      </c>
      <c r="AD35" s="126">
        <f>IF('入力・結果表示シート'!$C$32="○",IF(AD26&lt;=74,1,0),0)</f>
        <v>0</v>
      </c>
      <c r="AE35" s="126">
        <f>IF('入力・結果表示シート'!$C$32="○",IF(AE26&lt;=74,1,0),0)</f>
        <v>0</v>
      </c>
      <c r="AF35" s="126">
        <f>IF('入力・結果表示シート'!$C$32="○",IF(AF26&lt;=74,1,0),0)</f>
        <v>0</v>
      </c>
      <c r="AG35" s="126">
        <f>IF('入力・結果表示シート'!$C$32="○",IF(AG26&lt;=74,1,0),0)</f>
        <v>0</v>
      </c>
      <c r="AH35" s="126">
        <f>IF('入力・結果表示シート'!$C$32="○",IF(AH26&lt;=74,1,0),0)</f>
        <v>0</v>
      </c>
      <c r="AI35" s="126">
        <f>IF('入力・結果表示シート'!$C$32="○",IF(AI26&lt;=74,1,0),0)</f>
        <v>0</v>
      </c>
      <c r="AJ35" s="126">
        <f>IF('入力・結果表示シート'!$C$32="○",IF(AJ26&lt;=74,1,0),0)</f>
        <v>0</v>
      </c>
      <c r="AK35">
        <f t="shared" si="51"/>
        <v>0</v>
      </c>
    </row>
    <row r="36" spans="1:37">
      <c r="A36" s="35" t="s">
        <v>5</v>
      </c>
      <c r="B36" s="135" t="str">
        <f t="shared" si="48"/>
        <v/>
      </c>
      <c r="C36" s="149"/>
      <c r="D36" s="126">
        <f>IF('入力・結果表示シート'!C34="○",DATEDIF(B36,$C$31+1,"y"),0)</f>
        <v>0</v>
      </c>
      <c r="E36" s="126">
        <f>IF(AND('入力・結果表示シート'!C34="○",D36&lt;7),(10-$G$25)/2,0)</f>
        <v>0</v>
      </c>
      <c r="X36" s="35" t="s">
        <v>10</v>
      </c>
      <c r="Y36" s="126">
        <f>IF('入力・結果表示シート'!$C$33="○",IF(Y27&lt;=74,1,0),0)</f>
        <v>0</v>
      </c>
      <c r="Z36" s="126">
        <f>IF('入力・結果表示シート'!$C$33="○",IF(Z27&lt;=74,1,0),0)</f>
        <v>0</v>
      </c>
      <c r="AA36" s="126">
        <f>IF('入力・結果表示シート'!$C$33="○",IF(AA27&lt;=74,1,0),0)</f>
        <v>0</v>
      </c>
      <c r="AB36" s="126">
        <f>IF('入力・結果表示シート'!$C$33="○",IF(AB27&lt;=74,1,0),0)</f>
        <v>0</v>
      </c>
      <c r="AC36" s="126">
        <f>IF('入力・結果表示シート'!$C$33="○",IF(AC27&lt;=74,1,0),0)</f>
        <v>0</v>
      </c>
      <c r="AD36" s="126">
        <f>IF('入力・結果表示シート'!$C$33="○",IF(AD27&lt;=74,1,0),0)</f>
        <v>0</v>
      </c>
      <c r="AE36" s="126">
        <f>IF('入力・結果表示シート'!$C$33="○",IF(AE27&lt;=74,1,0),0)</f>
        <v>0</v>
      </c>
      <c r="AF36" s="126">
        <f>IF('入力・結果表示シート'!$C$33="○",IF(AF27&lt;=74,1,0),0)</f>
        <v>0</v>
      </c>
      <c r="AG36" s="126">
        <f>IF('入力・結果表示シート'!$C$33="○",IF(AG27&lt;=74,1,0),0)</f>
        <v>0</v>
      </c>
      <c r="AH36" s="126">
        <f>IF('入力・結果表示シート'!$C$33="○",IF(AH27&lt;=74,1,0),0)</f>
        <v>0</v>
      </c>
      <c r="AI36" s="126">
        <f>IF('入力・結果表示シート'!$C$33="○",IF(AI27&lt;=74,1,0),0)</f>
        <v>0</v>
      </c>
      <c r="AJ36" s="126">
        <f>IF('入力・結果表示シート'!$C$33="○",IF(AJ27&lt;=74,1,0),0)</f>
        <v>0</v>
      </c>
      <c r="AK36">
        <f t="shared" si="51"/>
        <v>0</v>
      </c>
    </row>
    <row r="37" spans="1:37">
      <c r="C37" s="150" t="s">
        <v>327</v>
      </c>
      <c r="X37" s="35" t="s">
        <v>5</v>
      </c>
      <c r="Y37" s="126">
        <f>IF('入力・結果表示シート'!$C$34="○",IF(Y28&lt;=74,1,0),0)</f>
        <v>0</v>
      </c>
      <c r="Z37" s="126">
        <f>IF('入力・結果表示シート'!$C$34="○",IF(Z28&lt;=74,1,0),0)</f>
        <v>0</v>
      </c>
      <c r="AA37" s="126">
        <f>IF('入力・結果表示シート'!$C$34="○",IF(AA28&lt;=74,1,0),0)</f>
        <v>0</v>
      </c>
      <c r="AB37" s="126">
        <f>IF('入力・結果表示シート'!$C$34="○",IF(AB28&lt;=74,1,0),0)</f>
        <v>0</v>
      </c>
      <c r="AC37" s="126">
        <f>IF('入力・結果表示シート'!$C$34="○",IF(AC28&lt;=74,1,0),0)</f>
        <v>0</v>
      </c>
      <c r="AD37" s="126">
        <f>IF('入力・結果表示シート'!$C$34="○",IF(AD28&lt;=74,1,0),0)</f>
        <v>0</v>
      </c>
      <c r="AE37" s="126">
        <f>IF('入力・結果表示シート'!$C$34="○",IF(AE28&lt;=74,1,0),0)</f>
        <v>0</v>
      </c>
      <c r="AF37" s="126">
        <f>IF('入力・結果表示シート'!$C$34="○",IF(AF28&lt;=74,1,0),0)</f>
        <v>0</v>
      </c>
      <c r="AG37" s="126">
        <f>IF('入力・結果表示シート'!$C$34="○",IF(AG28&lt;=74,1,0),0)</f>
        <v>0</v>
      </c>
      <c r="AH37" s="126">
        <f>IF('入力・結果表示シート'!$C$34="○",IF(AH28&lt;=74,1,0),0)</f>
        <v>0</v>
      </c>
      <c r="AI37" s="126">
        <f>IF('入力・結果表示シート'!$C$34="○",IF(AI28&lt;=74,1,0),0)</f>
        <v>0</v>
      </c>
      <c r="AJ37" s="126">
        <f>IF('入力・結果表示シート'!$C$34="○",IF(AJ28&lt;=74,1,0),0)</f>
        <v>0</v>
      </c>
      <c r="AK37">
        <f t="shared" si="51"/>
        <v>0</v>
      </c>
    </row>
    <row r="38" spans="1:37">
      <c r="L38" s="144" t="s">
        <v>72</v>
      </c>
      <c r="M38" s="144"/>
      <c r="N38" s="144"/>
      <c r="O38" s="144"/>
      <c r="P38" s="184" t="s">
        <v>64</v>
      </c>
      <c r="Q38" s="190"/>
      <c r="R38" s="190"/>
      <c r="S38" s="190"/>
      <c r="T38" s="190"/>
      <c r="U38" s="191"/>
      <c r="X38" s="35" t="s">
        <v>347</v>
      </c>
      <c r="Y38" s="126">
        <f t="shared" ref="Y38:AJ38" si="55">SUM(Y32:Y37)</f>
        <v>0</v>
      </c>
      <c r="Z38" s="126">
        <f t="shared" si="55"/>
        <v>0</v>
      </c>
      <c r="AA38" s="126">
        <f t="shared" si="55"/>
        <v>0</v>
      </c>
      <c r="AB38" s="126">
        <f t="shared" si="55"/>
        <v>0</v>
      </c>
      <c r="AC38" s="126">
        <f t="shared" si="55"/>
        <v>0</v>
      </c>
      <c r="AD38" s="126">
        <f t="shared" si="55"/>
        <v>0</v>
      </c>
      <c r="AE38" s="126">
        <f t="shared" si="55"/>
        <v>0</v>
      </c>
      <c r="AF38" s="126">
        <f t="shared" si="55"/>
        <v>0</v>
      </c>
      <c r="AG38" s="126">
        <f t="shared" si="55"/>
        <v>0</v>
      </c>
      <c r="AH38" s="126">
        <f t="shared" si="55"/>
        <v>0</v>
      </c>
      <c r="AI38" s="126">
        <f t="shared" si="55"/>
        <v>0</v>
      </c>
      <c r="AJ38" s="126">
        <f t="shared" si="55"/>
        <v>0</v>
      </c>
    </row>
    <row r="39" spans="1:37">
      <c r="L39" s="144"/>
      <c r="M39" s="144"/>
      <c r="N39" s="144"/>
      <c r="O39" s="144"/>
      <c r="P39" s="35" t="s">
        <v>9</v>
      </c>
      <c r="Q39" s="35" t="s">
        <v>11</v>
      </c>
      <c r="R39" s="35" t="s">
        <v>12</v>
      </c>
      <c r="S39" s="35" t="s">
        <v>15</v>
      </c>
      <c r="T39" s="35" t="s">
        <v>10</v>
      </c>
      <c r="U39" s="35" t="s">
        <v>5</v>
      </c>
    </row>
    <row r="40" spans="1:37">
      <c r="L40" s="144"/>
      <c r="M40" s="144"/>
      <c r="N40" s="144"/>
      <c r="O40" s="144"/>
      <c r="P40" s="126" t="str">
        <f>C13</f>
        <v/>
      </c>
      <c r="Q40" s="126" t="str">
        <f>C14</f>
        <v/>
      </c>
      <c r="R40" s="126" t="str">
        <f>C15</f>
        <v/>
      </c>
      <c r="S40" s="126" t="str">
        <f>C16</f>
        <v/>
      </c>
      <c r="T40" s="126" t="str">
        <f>C17</f>
        <v/>
      </c>
      <c r="U40" s="126" t="str">
        <f>C18</f>
        <v/>
      </c>
      <c r="V40" t="s">
        <v>54</v>
      </c>
    </row>
    <row r="41" spans="1:37">
      <c r="A41" s="124" t="s">
        <v>52</v>
      </c>
      <c r="B41" s="136" t="s">
        <v>35</v>
      </c>
      <c r="C41" s="151"/>
      <c r="D41" s="158"/>
      <c r="E41" s="165" t="s">
        <v>39</v>
      </c>
      <c r="F41" s="166"/>
      <c r="G41" s="168"/>
      <c r="H41" s="170" t="s">
        <v>43</v>
      </c>
      <c r="I41" s="172"/>
      <c r="J41" s="173"/>
      <c r="L41" s="144"/>
      <c r="M41" s="144"/>
      <c r="N41" s="144"/>
      <c r="O41" s="144"/>
      <c r="P41" s="126">
        <f>'入力・結果表示シート'!J29</f>
        <v>0</v>
      </c>
      <c r="Q41" s="126">
        <f>'入力・結果表示シート'!J30</f>
        <v>0</v>
      </c>
      <c r="R41" s="126">
        <f>'入力・結果表示シート'!J31</f>
        <v>0</v>
      </c>
      <c r="S41" s="126">
        <f>'入力・結果表示シート'!J32</f>
        <v>0</v>
      </c>
      <c r="T41" s="126">
        <f>'入力・結果表示シート'!J33</f>
        <v>0</v>
      </c>
      <c r="U41" s="126">
        <f>'入力・結果表示シート'!J34</f>
        <v>0</v>
      </c>
      <c r="V41" t="s">
        <v>42</v>
      </c>
      <c r="X41" t="s">
        <v>229</v>
      </c>
    </row>
    <row r="42" spans="1:37">
      <c r="A42" s="127"/>
      <c r="B42" s="137" t="s">
        <v>88</v>
      </c>
      <c r="C42" s="137" t="s">
        <v>89</v>
      </c>
      <c r="D42" s="137" t="s">
        <v>78</v>
      </c>
      <c r="E42" s="137" t="s">
        <v>88</v>
      </c>
      <c r="F42" s="137" t="s">
        <v>89</v>
      </c>
      <c r="G42" s="137" t="s">
        <v>78</v>
      </c>
      <c r="H42" s="137" t="s">
        <v>88</v>
      </c>
      <c r="I42" s="137" t="s">
        <v>89</v>
      </c>
      <c r="J42" s="137" t="s">
        <v>78</v>
      </c>
      <c r="L42" s="144" t="s">
        <v>69</v>
      </c>
      <c r="M42" s="133"/>
      <c r="N42" s="35" t="s">
        <v>60</v>
      </c>
      <c r="O42" s="133">
        <v>1300000</v>
      </c>
      <c r="P42" s="133" t="str">
        <f t="shared" ref="P42:U42" si="56">IF(AND(P40&lt;65,P41&lt;=$O$42),500000,"")</f>
        <v/>
      </c>
      <c r="Q42" s="133" t="str">
        <f t="shared" si="56"/>
        <v/>
      </c>
      <c r="R42" s="133" t="str">
        <f t="shared" si="56"/>
        <v/>
      </c>
      <c r="S42" s="133" t="str">
        <f t="shared" si="56"/>
        <v/>
      </c>
      <c r="T42" s="133" t="str">
        <f t="shared" si="56"/>
        <v/>
      </c>
      <c r="U42" s="133" t="str">
        <f t="shared" si="56"/>
        <v/>
      </c>
      <c r="X42" s="192"/>
      <c r="Y42" s="192" t="s">
        <v>340</v>
      </c>
      <c r="Z42" s="192" t="s">
        <v>134</v>
      </c>
      <c r="AA42" s="192" t="s">
        <v>341</v>
      </c>
      <c r="AB42" s="192" t="s">
        <v>50</v>
      </c>
      <c r="AC42" s="192" t="s">
        <v>236</v>
      </c>
      <c r="AD42" s="192" t="s">
        <v>342</v>
      </c>
      <c r="AE42" s="192" t="s">
        <v>20</v>
      </c>
      <c r="AF42" s="192" t="s">
        <v>343</v>
      </c>
      <c r="AG42" s="192" t="s">
        <v>344</v>
      </c>
      <c r="AH42" s="192" t="s">
        <v>67</v>
      </c>
      <c r="AI42" s="192" t="s">
        <v>338</v>
      </c>
      <c r="AJ42" s="192" t="s">
        <v>339</v>
      </c>
    </row>
    <row r="43" spans="1:37">
      <c r="A43" s="125"/>
      <c r="B43" s="138">
        <v>8.4000000000000005e-002</v>
      </c>
      <c r="C43" s="152">
        <v>23000</v>
      </c>
      <c r="D43" s="152">
        <v>25000</v>
      </c>
      <c r="E43" s="138">
        <v>2.7e-002</v>
      </c>
      <c r="F43" s="152">
        <v>7600</v>
      </c>
      <c r="G43" s="152">
        <v>7300</v>
      </c>
      <c r="H43" s="138">
        <v>2.1000000000000001e-002</v>
      </c>
      <c r="I43" s="152">
        <v>8700</v>
      </c>
      <c r="J43" s="152">
        <v>4800</v>
      </c>
      <c r="L43" s="35"/>
      <c r="M43" s="133">
        <v>1300001</v>
      </c>
      <c r="N43" s="35" t="s">
        <v>60</v>
      </c>
      <c r="O43" s="133">
        <v>4100000</v>
      </c>
      <c r="P43" s="133" t="str">
        <f t="shared" ref="P43:U43" si="57">IF(AND(P40&lt;65,$M$43&lt;=P41,P41&lt;=$O$43),ROUNDDOWN(P41*0.25+175000,0),"")</f>
        <v/>
      </c>
      <c r="Q43" s="133" t="str">
        <f t="shared" si="57"/>
        <v/>
      </c>
      <c r="R43" s="133" t="str">
        <f t="shared" si="57"/>
        <v/>
      </c>
      <c r="S43" s="133" t="str">
        <f t="shared" si="57"/>
        <v/>
      </c>
      <c r="T43" s="133" t="str">
        <f t="shared" si="57"/>
        <v/>
      </c>
      <c r="U43" s="133" t="str">
        <f t="shared" si="57"/>
        <v/>
      </c>
      <c r="X43" s="35" t="s">
        <v>9</v>
      </c>
      <c r="Y43" s="133">
        <f t="shared" ref="Y43:AJ43" si="58">$B$43*$G$3*Y32/12</f>
        <v>0</v>
      </c>
      <c r="Z43" s="133">
        <f t="shared" si="58"/>
        <v>0</v>
      </c>
      <c r="AA43" s="133">
        <f t="shared" si="58"/>
        <v>0</v>
      </c>
      <c r="AB43" s="133">
        <f t="shared" si="58"/>
        <v>0</v>
      </c>
      <c r="AC43" s="133">
        <f t="shared" si="58"/>
        <v>0</v>
      </c>
      <c r="AD43" s="133">
        <f t="shared" si="58"/>
        <v>0</v>
      </c>
      <c r="AE43" s="133">
        <f t="shared" si="58"/>
        <v>0</v>
      </c>
      <c r="AF43" s="133">
        <f t="shared" si="58"/>
        <v>0</v>
      </c>
      <c r="AG43" s="133">
        <f t="shared" si="58"/>
        <v>0</v>
      </c>
      <c r="AH43" s="133">
        <f t="shared" si="58"/>
        <v>0</v>
      </c>
      <c r="AI43" s="133">
        <f t="shared" si="58"/>
        <v>0</v>
      </c>
      <c r="AJ43" s="133">
        <f t="shared" si="58"/>
        <v>0</v>
      </c>
      <c r="AK43" s="134">
        <f t="shared" ref="AK43:AK49" si="59">SUM(Y43:AJ43)</f>
        <v>0</v>
      </c>
    </row>
    <row r="44" spans="1:37">
      <c r="A44" s="35" t="s">
        <v>9</v>
      </c>
      <c r="B44" s="133">
        <f t="shared" ref="B44:B49" si="60">AK43</f>
        <v>0</v>
      </c>
      <c r="C44" s="133">
        <f t="shared" ref="C44:C49" si="61">AK53</f>
        <v>0</v>
      </c>
      <c r="D44" s="159">
        <f>AK63</f>
        <v>0</v>
      </c>
      <c r="E44" s="133">
        <f>IF(G13="後",0,IF('入力・結果表示シート'!C29="○",ROUNDDOWN(G3*$E$43,0),0))</f>
        <v>0</v>
      </c>
      <c r="F44" s="133">
        <f>IF(G13="後",0,IF('入力・結果表示シート'!C29="○",$F$43-($F$43*$G$25/10)-($F$43*E31/10),0))</f>
        <v>0</v>
      </c>
      <c r="G44" s="159">
        <f>IF(COUNTIF('入力・結果表示シート'!C29:C34,"○")&gt;=1,G43-(G43*G25/10),0)</f>
        <v>0</v>
      </c>
      <c r="H44" s="133">
        <f>IF(AND(AK12&gt;0,'入力・結果表示シート'!C29="○"),ROUNDDOWN(G3*$H$43,0),0)</f>
        <v>0</v>
      </c>
      <c r="I44" s="133">
        <f>IF(AND(AK12&gt;0,'入力・結果表示シート'!C29="○"),ROUNDDOWN(($I$43-($I$43*$G$25/10)-($I$43*E31/10)),0),0)</f>
        <v>0</v>
      </c>
      <c r="J44" s="159">
        <f>IF(AK18&gt;=1,J43-(J43*G25/10),0)</f>
        <v>0</v>
      </c>
      <c r="L44" s="35"/>
      <c r="M44" s="133">
        <v>4100001</v>
      </c>
      <c r="N44" s="35" t="s">
        <v>60</v>
      </c>
      <c r="O44" s="133">
        <v>7700000</v>
      </c>
      <c r="P44" s="133" t="str">
        <f t="shared" ref="P44:U44" si="62">IF(AND(P40&lt;65,$M$44&lt;=P41,P41&lt;=$O$44),ROUNDDOWN(P41*0.15+585000,0),"")</f>
        <v/>
      </c>
      <c r="Q44" s="133" t="str">
        <f t="shared" si="62"/>
        <v/>
      </c>
      <c r="R44" s="133" t="str">
        <f t="shared" si="62"/>
        <v/>
      </c>
      <c r="S44" s="133" t="str">
        <f t="shared" si="62"/>
        <v/>
      </c>
      <c r="T44" s="133" t="str">
        <f t="shared" si="62"/>
        <v/>
      </c>
      <c r="U44" s="133" t="str">
        <f t="shared" si="62"/>
        <v/>
      </c>
      <c r="X44" s="35" t="s">
        <v>11</v>
      </c>
      <c r="Y44" s="133">
        <f t="shared" ref="Y44:AJ44" si="63">$B$43*$G$4*Y33/12</f>
        <v>0</v>
      </c>
      <c r="Z44" s="133">
        <f t="shared" si="63"/>
        <v>0</v>
      </c>
      <c r="AA44" s="133">
        <f t="shared" si="63"/>
        <v>0</v>
      </c>
      <c r="AB44" s="133">
        <f t="shared" si="63"/>
        <v>0</v>
      </c>
      <c r="AC44" s="133">
        <f t="shared" si="63"/>
        <v>0</v>
      </c>
      <c r="AD44" s="133">
        <f t="shared" si="63"/>
        <v>0</v>
      </c>
      <c r="AE44" s="133">
        <f t="shared" si="63"/>
        <v>0</v>
      </c>
      <c r="AF44" s="133">
        <f t="shared" si="63"/>
        <v>0</v>
      </c>
      <c r="AG44" s="133">
        <f t="shared" si="63"/>
        <v>0</v>
      </c>
      <c r="AH44" s="133">
        <f t="shared" si="63"/>
        <v>0</v>
      </c>
      <c r="AI44" s="133">
        <f t="shared" si="63"/>
        <v>0</v>
      </c>
      <c r="AJ44" s="133">
        <f t="shared" si="63"/>
        <v>0</v>
      </c>
      <c r="AK44" s="134">
        <f t="shared" si="59"/>
        <v>0</v>
      </c>
    </row>
    <row r="45" spans="1:37">
      <c r="A45" s="35" t="s">
        <v>11</v>
      </c>
      <c r="B45" s="133">
        <f t="shared" si="60"/>
        <v>0</v>
      </c>
      <c r="C45" s="133">
        <f t="shared" si="61"/>
        <v>0</v>
      </c>
      <c r="D45" s="160"/>
      <c r="E45" s="133">
        <f>IF(G14="後",0,IF('入力・結果表示シート'!C30="○",ROUNDDOWN(G4*$E$43,0),0))</f>
        <v>0</v>
      </c>
      <c r="F45" s="133">
        <f>IF(G14="後",0,IF('入力・結果表示シート'!C30="○",$F$43-($F$43*$G$25/10)-($F$43*E32/10),0))</f>
        <v>0</v>
      </c>
      <c r="G45" s="160"/>
      <c r="H45" s="133">
        <f>IF(AND(AK13&gt;0,'入力・結果表示シート'!C30="○"),ROUNDDOWN(G4*$H$43,0),0)</f>
        <v>0</v>
      </c>
      <c r="I45" s="133">
        <f>IF(AND(AK13&gt;0,'入力・結果表示シート'!C30="○"),ROUNDDOWN(($I$43-($I$43*$G$25/10)-($I$43*E32/10)),0),0)</f>
        <v>0</v>
      </c>
      <c r="J45" s="160"/>
      <c r="L45" s="35"/>
      <c r="M45" s="133">
        <v>7700001</v>
      </c>
      <c r="N45" s="35" t="s">
        <v>60</v>
      </c>
      <c r="O45" s="133">
        <v>10000000</v>
      </c>
      <c r="P45" s="133" t="str">
        <f t="shared" ref="P45:U45" si="64">IF(AND(P40&lt;65,$M$45&lt;=P41,P41&lt;=$O$45),ROUNDDOWN(P41*0.05+1355000,0),"")</f>
        <v/>
      </c>
      <c r="Q45" s="133" t="str">
        <f t="shared" si="64"/>
        <v/>
      </c>
      <c r="R45" s="133" t="str">
        <f t="shared" si="64"/>
        <v/>
      </c>
      <c r="S45" s="133" t="str">
        <f t="shared" si="64"/>
        <v/>
      </c>
      <c r="T45" s="133" t="str">
        <f t="shared" si="64"/>
        <v/>
      </c>
      <c r="U45" s="133" t="str">
        <f t="shared" si="64"/>
        <v/>
      </c>
      <c r="X45" s="35" t="s">
        <v>12</v>
      </c>
      <c r="Y45" s="133">
        <f t="shared" ref="Y45:AJ45" si="65">$B$43*$G$5*Y34/12</f>
        <v>0</v>
      </c>
      <c r="Z45" s="133">
        <f t="shared" si="65"/>
        <v>0</v>
      </c>
      <c r="AA45" s="133">
        <f t="shared" si="65"/>
        <v>0</v>
      </c>
      <c r="AB45" s="133">
        <f t="shared" si="65"/>
        <v>0</v>
      </c>
      <c r="AC45" s="133">
        <f t="shared" si="65"/>
        <v>0</v>
      </c>
      <c r="AD45" s="133">
        <f t="shared" si="65"/>
        <v>0</v>
      </c>
      <c r="AE45" s="133">
        <f t="shared" si="65"/>
        <v>0</v>
      </c>
      <c r="AF45" s="133">
        <f t="shared" si="65"/>
        <v>0</v>
      </c>
      <c r="AG45" s="133">
        <f t="shared" si="65"/>
        <v>0</v>
      </c>
      <c r="AH45" s="133">
        <f t="shared" si="65"/>
        <v>0</v>
      </c>
      <c r="AI45" s="133">
        <f t="shared" si="65"/>
        <v>0</v>
      </c>
      <c r="AJ45" s="133">
        <f t="shared" si="65"/>
        <v>0</v>
      </c>
      <c r="AK45" s="134">
        <f t="shared" si="59"/>
        <v>0</v>
      </c>
    </row>
    <row r="46" spans="1:37">
      <c r="A46" s="35" t="s">
        <v>12</v>
      </c>
      <c r="B46" s="133">
        <f t="shared" si="60"/>
        <v>0</v>
      </c>
      <c r="C46" s="133">
        <f t="shared" si="61"/>
        <v>0</v>
      </c>
      <c r="D46" s="160"/>
      <c r="E46" s="133">
        <f>IF(G15="後",0,IF('入力・結果表示シート'!C31="○",ROUNDDOWN(G5*$E$43,0),0))</f>
        <v>0</v>
      </c>
      <c r="F46" s="133">
        <f>IF(G15="後",0,IF('入力・結果表示シート'!C31="○",$F$43-($F$43*$G$25/10)-($F$43*E33/10),0))</f>
        <v>0</v>
      </c>
      <c r="G46" s="160"/>
      <c r="H46" s="133">
        <f>IF(AND(AK14&gt;0,'入力・結果表示シート'!C31="○"),ROUNDDOWN(G5*$H$43,0),0)</f>
        <v>0</v>
      </c>
      <c r="I46" s="133">
        <f>IF(AND(AK14&gt;0,'入力・結果表示シート'!C31="○"),ROUNDDOWN(($I$43-($I$43*$G$25/10)-($I$43*E33/10)),0),0)</f>
        <v>0</v>
      </c>
      <c r="J46" s="160"/>
      <c r="L46" s="35"/>
      <c r="M46" s="133">
        <v>10000001</v>
      </c>
      <c r="N46" s="35"/>
      <c r="O46" s="133"/>
      <c r="P46" s="133" t="str">
        <f t="shared" ref="P46:U46" si="66">IF(AND(P40&lt;65,$M$46&lt;=P41),1855000,"")</f>
        <v/>
      </c>
      <c r="Q46" s="133" t="str">
        <f t="shared" si="66"/>
        <v/>
      </c>
      <c r="R46" s="133" t="str">
        <f t="shared" si="66"/>
        <v/>
      </c>
      <c r="S46" s="133" t="str">
        <f t="shared" si="66"/>
        <v/>
      </c>
      <c r="T46" s="133" t="str">
        <f t="shared" si="66"/>
        <v/>
      </c>
      <c r="U46" s="133" t="str">
        <f t="shared" si="66"/>
        <v/>
      </c>
      <c r="X46" s="35" t="s">
        <v>15</v>
      </c>
      <c r="Y46" s="133">
        <f t="shared" ref="Y46:AJ46" si="67">$B$43*$G$6*Y35/12</f>
        <v>0</v>
      </c>
      <c r="Z46" s="133">
        <f t="shared" si="67"/>
        <v>0</v>
      </c>
      <c r="AA46" s="133">
        <f t="shared" si="67"/>
        <v>0</v>
      </c>
      <c r="AB46" s="133">
        <f t="shared" si="67"/>
        <v>0</v>
      </c>
      <c r="AC46" s="133">
        <f t="shared" si="67"/>
        <v>0</v>
      </c>
      <c r="AD46" s="133">
        <f t="shared" si="67"/>
        <v>0</v>
      </c>
      <c r="AE46" s="133">
        <f t="shared" si="67"/>
        <v>0</v>
      </c>
      <c r="AF46" s="133">
        <f t="shared" si="67"/>
        <v>0</v>
      </c>
      <c r="AG46" s="133">
        <f t="shared" si="67"/>
        <v>0</v>
      </c>
      <c r="AH46" s="133">
        <f t="shared" si="67"/>
        <v>0</v>
      </c>
      <c r="AI46" s="133">
        <f t="shared" si="67"/>
        <v>0</v>
      </c>
      <c r="AJ46" s="133">
        <f t="shared" si="67"/>
        <v>0</v>
      </c>
      <c r="AK46" s="134">
        <f t="shared" si="59"/>
        <v>0</v>
      </c>
    </row>
    <row r="47" spans="1:37">
      <c r="A47" s="35" t="s">
        <v>15</v>
      </c>
      <c r="B47" s="133">
        <f t="shared" si="60"/>
        <v>0</v>
      </c>
      <c r="C47" s="133">
        <f t="shared" si="61"/>
        <v>0</v>
      </c>
      <c r="D47" s="160"/>
      <c r="E47" s="133">
        <f>IF(G16="後",0,IF('入力・結果表示シート'!C32="○",ROUNDDOWN(G6*$E$43,0),0))</f>
        <v>0</v>
      </c>
      <c r="F47" s="133">
        <f>IF(G16="後",0,IF('入力・結果表示シート'!C32="○",$F$43-($F$43*$G$25/10)-($F$43*E34/10),0))</f>
        <v>0</v>
      </c>
      <c r="G47" s="160"/>
      <c r="H47" s="133">
        <f>IF(AND(AK15&gt;0,'入力・結果表示シート'!C32="○"),ROUNDDOWN(G6*$H$43,0),0)</f>
        <v>0</v>
      </c>
      <c r="I47" s="133">
        <f>IF(AND(AK15&gt;0,'入力・結果表示シート'!C32="○"),ROUNDDOWN(($I$43-($I$43*$G$25/10)-($I$43*E34/10)),0),0)</f>
        <v>0</v>
      </c>
      <c r="J47" s="160"/>
      <c r="L47" s="144" t="s">
        <v>30</v>
      </c>
      <c r="M47" s="133"/>
      <c r="N47" s="35" t="s">
        <v>60</v>
      </c>
      <c r="O47" s="133">
        <v>3300000</v>
      </c>
      <c r="P47" s="133">
        <f t="shared" ref="P47:U47" si="68">IF(AND(65&lt;=P40,P41&lt;=$O$47),1000000,"")</f>
        <v>1000000</v>
      </c>
      <c r="Q47" s="133">
        <f t="shared" si="68"/>
        <v>1000000</v>
      </c>
      <c r="R47" s="133">
        <f t="shared" si="68"/>
        <v>1000000</v>
      </c>
      <c r="S47" s="133">
        <f t="shared" si="68"/>
        <v>1000000</v>
      </c>
      <c r="T47" s="133">
        <f t="shared" si="68"/>
        <v>1000000</v>
      </c>
      <c r="U47" s="133">
        <f t="shared" si="68"/>
        <v>1000000</v>
      </c>
      <c r="X47" s="35" t="s">
        <v>10</v>
      </c>
      <c r="Y47" s="133">
        <f t="shared" ref="Y47:AJ47" si="69">$B$43*$G$7*Y36/12</f>
        <v>0</v>
      </c>
      <c r="Z47" s="133">
        <f t="shared" si="69"/>
        <v>0</v>
      </c>
      <c r="AA47" s="133">
        <f t="shared" si="69"/>
        <v>0</v>
      </c>
      <c r="AB47" s="133">
        <f t="shared" si="69"/>
        <v>0</v>
      </c>
      <c r="AC47" s="133">
        <f t="shared" si="69"/>
        <v>0</v>
      </c>
      <c r="AD47" s="133">
        <f t="shared" si="69"/>
        <v>0</v>
      </c>
      <c r="AE47" s="133">
        <f t="shared" si="69"/>
        <v>0</v>
      </c>
      <c r="AF47" s="133">
        <f t="shared" si="69"/>
        <v>0</v>
      </c>
      <c r="AG47" s="133">
        <f t="shared" si="69"/>
        <v>0</v>
      </c>
      <c r="AH47" s="133">
        <f t="shared" si="69"/>
        <v>0</v>
      </c>
      <c r="AI47" s="133">
        <f t="shared" si="69"/>
        <v>0</v>
      </c>
      <c r="AJ47" s="133">
        <f t="shared" si="69"/>
        <v>0</v>
      </c>
      <c r="AK47" s="134">
        <f t="shared" si="59"/>
        <v>0</v>
      </c>
    </row>
    <row r="48" spans="1:37">
      <c r="A48" s="35" t="s">
        <v>10</v>
      </c>
      <c r="B48" s="133">
        <f t="shared" si="60"/>
        <v>0</v>
      </c>
      <c r="C48" s="133">
        <f t="shared" si="61"/>
        <v>0</v>
      </c>
      <c r="D48" s="160"/>
      <c r="E48" s="133">
        <f>IF(G17="後",0,IF('入力・結果表示シート'!C33="○",ROUNDDOWN(G7*$E$43,0),0))</f>
        <v>0</v>
      </c>
      <c r="F48" s="133">
        <f>IF(G17="後",0,IF('入力・結果表示シート'!C33="○",$F$43-($F$43*$G$25/10)-($F$43*E35/10),0))</f>
        <v>0</v>
      </c>
      <c r="G48" s="160"/>
      <c r="H48" s="133">
        <f>IF(AND(AK16&gt;0,'入力・結果表示シート'!C33="○"),ROUNDDOWN(G7*$H$43,0),0)</f>
        <v>0</v>
      </c>
      <c r="I48" s="133">
        <f>IF(AND(AK16&gt;0,'入力・結果表示シート'!C33="○"),ROUNDDOWN(($I$43-($I$43*$G$25/10)-($I$43*E35/10)),0),0)</f>
        <v>0</v>
      </c>
      <c r="J48" s="160"/>
      <c r="L48" s="35"/>
      <c r="M48" s="133">
        <v>3300001</v>
      </c>
      <c r="N48" s="35" t="s">
        <v>60</v>
      </c>
      <c r="O48" s="133">
        <v>4100000</v>
      </c>
      <c r="P48" s="133" t="str">
        <f t="shared" ref="P48:U48" si="70">IF(AND(P40&gt;=65,$M$48&lt;=P41,P41&lt;=$O$48),ROUNDDOWN(P41*0.25+175000,0),"")</f>
        <v/>
      </c>
      <c r="Q48" s="133" t="str">
        <f t="shared" si="70"/>
        <v/>
      </c>
      <c r="R48" s="133" t="str">
        <f t="shared" si="70"/>
        <v/>
      </c>
      <c r="S48" s="133" t="str">
        <f t="shared" si="70"/>
        <v/>
      </c>
      <c r="T48" s="133" t="str">
        <f t="shared" si="70"/>
        <v/>
      </c>
      <c r="U48" s="133" t="str">
        <f t="shared" si="70"/>
        <v/>
      </c>
      <c r="X48" s="35" t="s">
        <v>5</v>
      </c>
      <c r="Y48" s="133">
        <f t="shared" ref="Y48:AJ48" si="71">$B$43*$G$8*Y37/12</f>
        <v>0</v>
      </c>
      <c r="Z48" s="133">
        <f t="shared" si="71"/>
        <v>0</v>
      </c>
      <c r="AA48" s="133">
        <f t="shared" si="71"/>
        <v>0</v>
      </c>
      <c r="AB48" s="133">
        <f t="shared" si="71"/>
        <v>0</v>
      </c>
      <c r="AC48" s="133">
        <f t="shared" si="71"/>
        <v>0</v>
      </c>
      <c r="AD48" s="133">
        <f t="shared" si="71"/>
        <v>0</v>
      </c>
      <c r="AE48" s="133">
        <f t="shared" si="71"/>
        <v>0</v>
      </c>
      <c r="AF48" s="133">
        <f t="shared" si="71"/>
        <v>0</v>
      </c>
      <c r="AG48" s="133">
        <f t="shared" si="71"/>
        <v>0</v>
      </c>
      <c r="AH48" s="133">
        <f t="shared" si="71"/>
        <v>0</v>
      </c>
      <c r="AI48" s="133">
        <f t="shared" si="71"/>
        <v>0</v>
      </c>
      <c r="AJ48" s="133">
        <f t="shared" si="71"/>
        <v>0</v>
      </c>
      <c r="AK48" s="134">
        <f t="shared" si="59"/>
        <v>0</v>
      </c>
    </row>
    <row r="49" spans="1:37" ht="14.25">
      <c r="A49" s="124" t="s">
        <v>5</v>
      </c>
      <c r="B49" s="133">
        <f t="shared" si="60"/>
        <v>0</v>
      </c>
      <c r="C49" s="133">
        <f t="shared" si="61"/>
        <v>0</v>
      </c>
      <c r="D49" s="161"/>
      <c r="E49" s="133">
        <f>IF(G18="後",0,IF('入力・結果表示シート'!C34="○",ROUNDDOWN(G8*$E$43,0),0))</f>
        <v>0</v>
      </c>
      <c r="F49" s="133">
        <f>IF(G18="後",0,IF('入力・結果表示シート'!C34="○",$F$43-($F$43*$G$25/10)-($F$43*E36/10),0))</f>
        <v>0</v>
      </c>
      <c r="G49" s="161"/>
      <c r="H49" s="133">
        <f>IF(AND(AK17&gt;0,'入力・結果表示シート'!C34="○"),ROUNDDOWN(G8*$H$43,0),0)</f>
        <v>0</v>
      </c>
      <c r="I49" s="133">
        <f>IF(AND(AK17&gt;0,'入力・結果表示シート'!C34="○"),ROUNDDOWN(($I$43-($I$43*$G$25/10)-($I$43*E36/10)),0),0)</f>
        <v>0</v>
      </c>
      <c r="J49" s="161"/>
      <c r="L49" s="35"/>
      <c r="M49" s="133">
        <v>4100001</v>
      </c>
      <c r="N49" s="35" t="s">
        <v>60</v>
      </c>
      <c r="O49" s="133">
        <v>7700000</v>
      </c>
      <c r="P49" s="133" t="str">
        <f t="shared" ref="P49:U49" si="72">IF(AND(P40&gt;=65,$M$49&lt;=P41,P41&lt;=$O$49),ROUNDDOWN(P41*0.15+585000,0),"")</f>
        <v/>
      </c>
      <c r="Q49" s="133" t="str">
        <f t="shared" si="72"/>
        <v/>
      </c>
      <c r="R49" s="133" t="str">
        <f t="shared" si="72"/>
        <v/>
      </c>
      <c r="S49" s="133" t="str">
        <f t="shared" si="72"/>
        <v/>
      </c>
      <c r="T49" s="133" t="str">
        <f t="shared" si="72"/>
        <v/>
      </c>
      <c r="U49" s="133" t="str">
        <f t="shared" si="72"/>
        <v/>
      </c>
      <c r="X49" s="35" t="s">
        <v>347</v>
      </c>
      <c r="Y49" s="133">
        <f t="shared" ref="Y49:AJ49" si="73">SUM(Y43:Y48)</f>
        <v>0</v>
      </c>
      <c r="Z49" s="133">
        <f t="shared" si="73"/>
        <v>0</v>
      </c>
      <c r="AA49" s="133">
        <f t="shared" si="73"/>
        <v>0</v>
      </c>
      <c r="AB49" s="133">
        <f t="shared" si="73"/>
        <v>0</v>
      </c>
      <c r="AC49" s="133">
        <f t="shared" si="73"/>
        <v>0</v>
      </c>
      <c r="AD49" s="133">
        <f t="shared" si="73"/>
        <v>0</v>
      </c>
      <c r="AE49" s="133">
        <f t="shared" si="73"/>
        <v>0</v>
      </c>
      <c r="AF49" s="133">
        <f t="shared" si="73"/>
        <v>0</v>
      </c>
      <c r="AG49" s="133">
        <f t="shared" si="73"/>
        <v>0</v>
      </c>
      <c r="AH49" s="133">
        <f t="shared" si="73"/>
        <v>0</v>
      </c>
      <c r="AI49" s="133">
        <f t="shared" si="73"/>
        <v>0</v>
      </c>
      <c r="AJ49" s="133">
        <f t="shared" si="73"/>
        <v>0</v>
      </c>
      <c r="AK49" s="134">
        <f t="shared" si="59"/>
        <v>0</v>
      </c>
    </row>
    <row r="50" spans="1:37" ht="14.25">
      <c r="A50" s="128" t="s">
        <v>79</v>
      </c>
      <c r="B50" s="139">
        <f t="shared" ref="B50:J50" si="74">SUM(B44:B49)</f>
        <v>0</v>
      </c>
      <c r="C50" s="139">
        <f t="shared" si="74"/>
        <v>0</v>
      </c>
      <c r="D50" s="139">
        <f t="shared" si="74"/>
        <v>0</v>
      </c>
      <c r="E50" s="139">
        <f t="shared" si="74"/>
        <v>0</v>
      </c>
      <c r="F50" s="139">
        <f t="shared" si="74"/>
        <v>0</v>
      </c>
      <c r="G50" s="139">
        <f t="shared" si="74"/>
        <v>0</v>
      </c>
      <c r="H50" s="139">
        <f t="shared" si="74"/>
        <v>0</v>
      </c>
      <c r="I50" s="139">
        <f t="shared" si="74"/>
        <v>0</v>
      </c>
      <c r="J50" s="174">
        <f t="shared" si="74"/>
        <v>0</v>
      </c>
      <c r="L50" s="35"/>
      <c r="M50" s="133">
        <v>7700001</v>
      </c>
      <c r="N50" s="35" t="s">
        <v>60</v>
      </c>
      <c r="O50" s="133">
        <v>10000000</v>
      </c>
      <c r="P50" s="133" t="str">
        <f t="shared" ref="P50:U50" si="75">IF(AND(P40&gt;=65,$M$50&lt;=P41,P41&lt;=$O$50),ROUNDDOWN(P41*0.05+1355000,0),"")</f>
        <v/>
      </c>
      <c r="Q50" s="133" t="str">
        <f t="shared" si="75"/>
        <v/>
      </c>
      <c r="R50" s="133" t="str">
        <f t="shared" si="75"/>
        <v/>
      </c>
      <c r="S50" s="133" t="str">
        <f t="shared" si="75"/>
        <v/>
      </c>
      <c r="T50" s="133" t="str">
        <f t="shared" si="75"/>
        <v/>
      </c>
      <c r="U50" s="133" t="str">
        <f t="shared" si="75"/>
        <v/>
      </c>
    </row>
    <row r="51" spans="1:37" ht="14.25">
      <c r="A51" s="128" t="s">
        <v>58</v>
      </c>
      <c r="B51" s="140">
        <v>660000</v>
      </c>
      <c r="C51" s="140"/>
      <c r="D51" s="140"/>
      <c r="E51" s="140">
        <v>260000</v>
      </c>
      <c r="F51" s="140"/>
      <c r="G51" s="140"/>
      <c r="H51" s="171">
        <v>170000</v>
      </c>
      <c r="I51" s="171"/>
      <c r="J51" s="175"/>
      <c r="L51" s="35"/>
      <c r="M51" s="133">
        <v>10000001</v>
      </c>
      <c r="N51" s="35"/>
      <c r="O51" s="133"/>
      <c r="P51" s="133" t="str">
        <f t="shared" ref="P51:U51" si="76">IF(AND(P40&gt;=65,$M$51&lt;=P41),1855000,"")</f>
        <v/>
      </c>
      <c r="Q51" s="133" t="str">
        <f t="shared" si="76"/>
        <v/>
      </c>
      <c r="R51" s="133" t="str">
        <f t="shared" si="76"/>
        <v/>
      </c>
      <c r="S51" s="133" t="str">
        <f t="shared" si="76"/>
        <v/>
      </c>
      <c r="T51" s="133" t="str">
        <f t="shared" si="76"/>
        <v/>
      </c>
      <c r="U51" s="133" t="str">
        <f t="shared" si="76"/>
        <v/>
      </c>
      <c r="X51" t="s">
        <v>348</v>
      </c>
    </row>
    <row r="52" spans="1:37" ht="14.25">
      <c r="A52" s="128" t="s">
        <v>351</v>
      </c>
      <c r="B52" s="141">
        <f>ROUNDDOWN(AK67,-2)</f>
        <v>0</v>
      </c>
      <c r="C52" s="153"/>
      <c r="D52" s="162"/>
      <c r="E52" s="141">
        <f>IF(SUM(E50:G50)&lt;E51,ROUNDDOWN(AK96,-2),E51)</f>
        <v>0</v>
      </c>
      <c r="F52" s="153"/>
      <c r="G52" s="162"/>
      <c r="H52" s="141">
        <f>IF(SUM(H50:J50)&lt;H51,ROUNDDOWN(AK125,-2),H51)</f>
        <v>0</v>
      </c>
      <c r="I52" s="153"/>
      <c r="J52" s="162"/>
      <c r="O52" s="181" t="s">
        <v>71</v>
      </c>
      <c r="P52" s="133">
        <f t="shared" ref="P52:U52" si="77">SUM(P42:P51)</f>
        <v>1000000</v>
      </c>
      <c r="Q52" s="133">
        <f t="shared" si="77"/>
        <v>1000000</v>
      </c>
      <c r="R52" s="133">
        <f t="shared" si="77"/>
        <v>1000000</v>
      </c>
      <c r="S52" s="133">
        <f t="shared" si="77"/>
        <v>1000000</v>
      </c>
      <c r="T52" s="133">
        <f t="shared" si="77"/>
        <v>1000000</v>
      </c>
      <c r="U52" s="133">
        <f t="shared" si="77"/>
        <v>1000000</v>
      </c>
      <c r="X52" s="192"/>
      <c r="Y52" s="192" t="s">
        <v>340</v>
      </c>
      <c r="Z52" s="192" t="s">
        <v>134</v>
      </c>
      <c r="AA52" s="192" t="s">
        <v>341</v>
      </c>
      <c r="AB52" s="192" t="s">
        <v>50</v>
      </c>
      <c r="AC52" s="192" t="s">
        <v>236</v>
      </c>
      <c r="AD52" s="192" t="s">
        <v>342</v>
      </c>
      <c r="AE52" s="192" t="s">
        <v>20</v>
      </c>
      <c r="AF52" s="192" t="s">
        <v>343</v>
      </c>
      <c r="AG52" s="192" t="s">
        <v>344</v>
      </c>
      <c r="AH52" s="192" t="s">
        <v>67</v>
      </c>
      <c r="AI52" s="192" t="s">
        <v>338</v>
      </c>
      <c r="AJ52" s="192" t="s">
        <v>339</v>
      </c>
    </row>
    <row r="53" spans="1:37">
      <c r="B53" s="134"/>
      <c r="C53" s="134"/>
      <c r="D53" s="134"/>
      <c r="E53" s="134"/>
      <c r="F53" s="134"/>
      <c r="G53" s="134"/>
      <c r="H53" s="134"/>
      <c r="I53" s="134"/>
      <c r="J53" s="134"/>
      <c r="O53" s="181" t="s">
        <v>23</v>
      </c>
      <c r="P53" s="133">
        <f t="shared" ref="P53:U53" si="78">IF(P41-P52&gt;=0,P41-P52,0)</f>
        <v>0</v>
      </c>
      <c r="Q53" s="133">
        <f t="shared" si="78"/>
        <v>0</v>
      </c>
      <c r="R53" s="133">
        <f t="shared" si="78"/>
        <v>0</v>
      </c>
      <c r="S53" s="133">
        <f t="shared" si="78"/>
        <v>0</v>
      </c>
      <c r="T53" s="133">
        <f t="shared" si="78"/>
        <v>0</v>
      </c>
      <c r="U53" s="133">
        <f t="shared" si="78"/>
        <v>0</v>
      </c>
      <c r="X53" s="35" t="s">
        <v>9</v>
      </c>
      <c r="Y53" s="133">
        <f t="shared" ref="Y53:AJ53" si="79">($C$43-($C$43*$G$25/10)-($C$43*$E$31/10))*Y32/12</f>
        <v>0</v>
      </c>
      <c r="Z53" s="133">
        <f t="shared" si="79"/>
        <v>0</v>
      </c>
      <c r="AA53" s="133">
        <f t="shared" si="79"/>
        <v>0</v>
      </c>
      <c r="AB53" s="133">
        <f t="shared" si="79"/>
        <v>0</v>
      </c>
      <c r="AC53" s="133">
        <f t="shared" si="79"/>
        <v>0</v>
      </c>
      <c r="AD53" s="133">
        <f t="shared" si="79"/>
        <v>0</v>
      </c>
      <c r="AE53" s="133">
        <f t="shared" si="79"/>
        <v>0</v>
      </c>
      <c r="AF53" s="133">
        <f t="shared" si="79"/>
        <v>0</v>
      </c>
      <c r="AG53" s="133">
        <f t="shared" si="79"/>
        <v>0</v>
      </c>
      <c r="AH53" s="133">
        <f t="shared" si="79"/>
        <v>0</v>
      </c>
      <c r="AI53" s="133">
        <f t="shared" si="79"/>
        <v>0</v>
      </c>
      <c r="AJ53" s="133">
        <f t="shared" si="79"/>
        <v>0</v>
      </c>
      <c r="AK53" s="134">
        <f t="shared" ref="AK53:AK59" si="80">SUM(Y53:AJ53)</f>
        <v>0</v>
      </c>
    </row>
    <row r="54" spans="1:37">
      <c r="B54" s="134"/>
      <c r="C54" s="134"/>
      <c r="D54" s="134"/>
      <c r="E54" s="134"/>
      <c r="F54" s="134"/>
      <c r="G54" s="134"/>
      <c r="H54" s="134"/>
      <c r="I54" s="134"/>
      <c r="J54" s="134"/>
      <c r="X54" s="35" t="s">
        <v>11</v>
      </c>
      <c r="Y54" s="133">
        <f t="shared" ref="Y54:AJ54" si="81">($C$43-($C$43*$G$25/10)-($C$43*$E$32/10))*Y33/12</f>
        <v>0</v>
      </c>
      <c r="Z54" s="133">
        <f t="shared" si="81"/>
        <v>0</v>
      </c>
      <c r="AA54" s="133">
        <f t="shared" si="81"/>
        <v>0</v>
      </c>
      <c r="AB54" s="133">
        <f t="shared" si="81"/>
        <v>0</v>
      </c>
      <c r="AC54" s="133">
        <f t="shared" si="81"/>
        <v>0</v>
      </c>
      <c r="AD54" s="133">
        <f t="shared" si="81"/>
        <v>0</v>
      </c>
      <c r="AE54" s="133">
        <f t="shared" si="81"/>
        <v>0</v>
      </c>
      <c r="AF54" s="133">
        <f t="shared" si="81"/>
        <v>0</v>
      </c>
      <c r="AG54" s="133">
        <f t="shared" si="81"/>
        <v>0</v>
      </c>
      <c r="AH54" s="133">
        <f t="shared" si="81"/>
        <v>0</v>
      </c>
      <c r="AI54" s="133">
        <f t="shared" si="81"/>
        <v>0</v>
      </c>
      <c r="AJ54" s="133">
        <f t="shared" si="81"/>
        <v>0</v>
      </c>
      <c r="AK54" s="134">
        <f t="shared" si="80"/>
        <v>0</v>
      </c>
    </row>
    <row r="55" spans="1:37">
      <c r="A55" s="129" t="s">
        <v>90</v>
      </c>
      <c r="B55" s="142">
        <f>SUM(B52:J52)</f>
        <v>0</v>
      </c>
      <c r="C55" s="154"/>
      <c r="D55" s="134"/>
      <c r="E55" s="134"/>
      <c r="F55" s="134"/>
      <c r="G55" s="134"/>
      <c r="H55" s="134"/>
      <c r="I55" s="134"/>
      <c r="J55" s="134"/>
      <c r="X55" s="35" t="s">
        <v>12</v>
      </c>
      <c r="Y55" s="133">
        <f t="shared" ref="Y55:AJ55" si="82">($C$43-($C$43*$G$25/10)-($C$43*$E$33/10))*Y34/12</f>
        <v>0</v>
      </c>
      <c r="Z55" s="133">
        <f t="shared" si="82"/>
        <v>0</v>
      </c>
      <c r="AA55" s="133">
        <f t="shared" si="82"/>
        <v>0</v>
      </c>
      <c r="AB55" s="133">
        <f t="shared" si="82"/>
        <v>0</v>
      </c>
      <c r="AC55" s="133">
        <f t="shared" si="82"/>
        <v>0</v>
      </c>
      <c r="AD55" s="133">
        <f t="shared" si="82"/>
        <v>0</v>
      </c>
      <c r="AE55" s="133">
        <f t="shared" si="82"/>
        <v>0</v>
      </c>
      <c r="AF55" s="133">
        <f t="shared" si="82"/>
        <v>0</v>
      </c>
      <c r="AG55" s="133">
        <f t="shared" si="82"/>
        <v>0</v>
      </c>
      <c r="AH55" s="133">
        <f t="shared" si="82"/>
        <v>0</v>
      </c>
      <c r="AI55" s="133">
        <f t="shared" si="82"/>
        <v>0</v>
      </c>
      <c r="AJ55" s="133">
        <f t="shared" si="82"/>
        <v>0</v>
      </c>
      <c r="AK55" s="134">
        <f t="shared" si="80"/>
        <v>0</v>
      </c>
    </row>
    <row r="56" spans="1:37">
      <c r="A56" s="130"/>
      <c r="B56" s="143"/>
      <c r="C56" s="155"/>
      <c r="D56" s="134"/>
      <c r="E56" s="134"/>
      <c r="F56" s="134"/>
      <c r="G56" s="134"/>
      <c r="H56" s="134"/>
      <c r="I56" s="134"/>
      <c r="J56" s="134"/>
      <c r="L56" s="144" t="s">
        <v>51</v>
      </c>
      <c r="M56" s="144"/>
      <c r="N56" s="144"/>
      <c r="O56" s="144"/>
      <c r="P56" s="184" t="s">
        <v>64</v>
      </c>
      <c r="Q56" s="190"/>
      <c r="R56" s="190"/>
      <c r="S56" s="190"/>
      <c r="T56" s="190"/>
      <c r="U56" s="191"/>
      <c r="X56" s="35" t="s">
        <v>15</v>
      </c>
      <c r="Y56" s="133">
        <f t="shared" ref="Y56:AJ56" si="83">($C$43-($C$43*$G$25/10)-($C$43*$E$34/10))*Y35/12</f>
        <v>0</v>
      </c>
      <c r="Z56" s="133">
        <f t="shared" si="83"/>
        <v>0</v>
      </c>
      <c r="AA56" s="133">
        <f t="shared" si="83"/>
        <v>0</v>
      </c>
      <c r="AB56" s="133">
        <f t="shared" si="83"/>
        <v>0</v>
      </c>
      <c r="AC56" s="133">
        <f t="shared" si="83"/>
        <v>0</v>
      </c>
      <c r="AD56" s="133">
        <f t="shared" si="83"/>
        <v>0</v>
      </c>
      <c r="AE56" s="133">
        <f t="shared" si="83"/>
        <v>0</v>
      </c>
      <c r="AF56" s="133">
        <f t="shared" si="83"/>
        <v>0</v>
      </c>
      <c r="AG56" s="133">
        <f t="shared" si="83"/>
        <v>0</v>
      </c>
      <c r="AH56" s="133">
        <f t="shared" si="83"/>
        <v>0</v>
      </c>
      <c r="AI56" s="133">
        <f t="shared" si="83"/>
        <v>0</v>
      </c>
      <c r="AJ56" s="133">
        <f t="shared" si="83"/>
        <v>0</v>
      </c>
      <c r="AK56" s="134">
        <f t="shared" si="80"/>
        <v>0</v>
      </c>
    </row>
    <row r="57" spans="1:37">
      <c r="L57" s="144"/>
      <c r="M57" s="144"/>
      <c r="N57" s="144"/>
      <c r="O57" s="144"/>
      <c r="P57" s="35" t="s">
        <v>9</v>
      </c>
      <c r="Q57" s="35" t="s">
        <v>11</v>
      </c>
      <c r="R57" s="35" t="s">
        <v>12</v>
      </c>
      <c r="S57" s="35" t="s">
        <v>15</v>
      </c>
      <c r="T57" s="35" t="s">
        <v>10</v>
      </c>
      <c r="U57" s="35" t="s">
        <v>5</v>
      </c>
      <c r="X57" s="35" t="s">
        <v>10</v>
      </c>
      <c r="Y57" s="133">
        <f t="shared" ref="Y57:AJ57" si="84">($C$43-($C$43*$G$25/10)-($C$43*$E$35/10))*Y36/12</f>
        <v>0</v>
      </c>
      <c r="Z57" s="133">
        <f t="shared" si="84"/>
        <v>0</v>
      </c>
      <c r="AA57" s="133">
        <f t="shared" si="84"/>
        <v>0</v>
      </c>
      <c r="AB57" s="133">
        <f t="shared" si="84"/>
        <v>0</v>
      </c>
      <c r="AC57" s="133">
        <f t="shared" si="84"/>
        <v>0</v>
      </c>
      <c r="AD57" s="133">
        <f t="shared" si="84"/>
        <v>0</v>
      </c>
      <c r="AE57" s="133">
        <f t="shared" si="84"/>
        <v>0</v>
      </c>
      <c r="AF57" s="133">
        <f t="shared" si="84"/>
        <v>0</v>
      </c>
      <c r="AG57" s="133">
        <f t="shared" si="84"/>
        <v>0</v>
      </c>
      <c r="AH57" s="133">
        <f t="shared" si="84"/>
        <v>0</v>
      </c>
      <c r="AI57" s="133">
        <f t="shared" si="84"/>
        <v>0</v>
      </c>
      <c r="AJ57" s="133">
        <f t="shared" si="84"/>
        <v>0</v>
      </c>
      <c r="AK57" s="134">
        <f t="shared" si="80"/>
        <v>0</v>
      </c>
    </row>
    <row r="58" spans="1:37">
      <c r="L58" s="144"/>
      <c r="M58" s="144"/>
      <c r="N58" s="144"/>
      <c r="O58" s="144"/>
      <c r="P58" s="126" t="str">
        <f>C13</f>
        <v/>
      </c>
      <c r="Q58" s="126" t="str">
        <f>C14</f>
        <v/>
      </c>
      <c r="R58" s="126" t="str">
        <f>C15</f>
        <v/>
      </c>
      <c r="S58" s="126" t="str">
        <f>C16</f>
        <v/>
      </c>
      <c r="T58" s="126" t="str">
        <f>C17</f>
        <v/>
      </c>
      <c r="U58" s="126" t="str">
        <f>C18</f>
        <v/>
      </c>
      <c r="V58" t="s">
        <v>54</v>
      </c>
      <c r="X58" s="35" t="s">
        <v>5</v>
      </c>
      <c r="Y58" s="133">
        <f t="shared" ref="Y58:AJ58" si="85">($C$43-($C$43*$G$25/10)-($C$43*$E$36/10))*Y37/12</f>
        <v>0</v>
      </c>
      <c r="Z58" s="133">
        <f t="shared" si="85"/>
        <v>0</v>
      </c>
      <c r="AA58" s="133">
        <f t="shared" si="85"/>
        <v>0</v>
      </c>
      <c r="AB58" s="133">
        <f t="shared" si="85"/>
        <v>0</v>
      </c>
      <c r="AC58" s="133">
        <f t="shared" si="85"/>
        <v>0</v>
      </c>
      <c r="AD58" s="133">
        <f t="shared" si="85"/>
        <v>0</v>
      </c>
      <c r="AE58" s="133">
        <f t="shared" si="85"/>
        <v>0</v>
      </c>
      <c r="AF58" s="133">
        <f t="shared" si="85"/>
        <v>0</v>
      </c>
      <c r="AG58" s="133">
        <f t="shared" si="85"/>
        <v>0</v>
      </c>
      <c r="AH58" s="133">
        <f t="shared" si="85"/>
        <v>0</v>
      </c>
      <c r="AI58" s="133">
        <f t="shared" si="85"/>
        <v>0</v>
      </c>
      <c r="AJ58" s="133">
        <f t="shared" si="85"/>
        <v>0</v>
      </c>
      <c r="AK58" s="134">
        <f t="shared" si="80"/>
        <v>0</v>
      </c>
    </row>
    <row r="59" spans="1:37">
      <c r="A59" s="131"/>
      <c r="B59" t="s">
        <v>345</v>
      </c>
      <c r="L59" s="144"/>
      <c r="M59" s="144"/>
      <c r="N59" s="144"/>
      <c r="O59" s="144"/>
      <c r="P59" s="126">
        <f>'入力・結果表示シート'!J29</f>
        <v>0</v>
      </c>
      <c r="Q59" s="126">
        <f>'入力・結果表示シート'!J30</f>
        <v>0</v>
      </c>
      <c r="R59" s="126">
        <f>'入力・結果表示シート'!J31</f>
        <v>0</v>
      </c>
      <c r="S59" s="126">
        <f>'入力・結果表示シート'!J32</f>
        <v>0</v>
      </c>
      <c r="T59" s="126">
        <f>'入力・結果表示シート'!J33</f>
        <v>0</v>
      </c>
      <c r="U59" s="126">
        <f>'入力・結果表示シート'!J34</f>
        <v>0</v>
      </c>
      <c r="V59" t="s">
        <v>42</v>
      </c>
      <c r="X59" s="35" t="s">
        <v>347</v>
      </c>
      <c r="Y59" s="133">
        <f t="shared" ref="Y59:AJ59" si="86">SUM(Y53:Y58)</f>
        <v>0</v>
      </c>
      <c r="Z59" s="133">
        <f t="shared" si="86"/>
        <v>0</v>
      </c>
      <c r="AA59" s="133">
        <f t="shared" si="86"/>
        <v>0</v>
      </c>
      <c r="AB59" s="133">
        <f t="shared" si="86"/>
        <v>0</v>
      </c>
      <c r="AC59" s="133">
        <f t="shared" si="86"/>
        <v>0</v>
      </c>
      <c r="AD59" s="133">
        <f t="shared" si="86"/>
        <v>0</v>
      </c>
      <c r="AE59" s="133">
        <f t="shared" si="86"/>
        <v>0</v>
      </c>
      <c r="AF59" s="133">
        <f t="shared" si="86"/>
        <v>0</v>
      </c>
      <c r="AG59" s="133">
        <f t="shared" si="86"/>
        <v>0</v>
      </c>
      <c r="AH59" s="133">
        <f t="shared" si="86"/>
        <v>0</v>
      </c>
      <c r="AI59" s="133">
        <f t="shared" si="86"/>
        <v>0</v>
      </c>
      <c r="AJ59" s="133">
        <f t="shared" si="86"/>
        <v>0</v>
      </c>
      <c r="AK59" s="134">
        <f t="shared" si="80"/>
        <v>0</v>
      </c>
    </row>
    <row r="60" spans="1:37">
      <c r="A60" s="132"/>
      <c r="B60" t="s">
        <v>199</v>
      </c>
      <c r="L60" s="144" t="s">
        <v>69</v>
      </c>
      <c r="M60" s="133"/>
      <c r="N60" s="35" t="s">
        <v>60</v>
      </c>
      <c r="O60" s="133">
        <v>1300000</v>
      </c>
      <c r="P60" s="133" t="str">
        <f t="shared" ref="P60:U60" si="87">IF(AND(P58&lt;65,P59&lt;=$O$60),400000,"")</f>
        <v/>
      </c>
      <c r="Q60" s="133" t="str">
        <f t="shared" si="87"/>
        <v/>
      </c>
      <c r="R60" s="133" t="str">
        <f t="shared" si="87"/>
        <v/>
      </c>
      <c r="S60" s="133" t="str">
        <f t="shared" si="87"/>
        <v/>
      </c>
      <c r="T60" s="133" t="str">
        <f t="shared" si="87"/>
        <v/>
      </c>
      <c r="U60" s="133" t="str">
        <f t="shared" si="87"/>
        <v/>
      </c>
    </row>
    <row r="61" spans="1:37">
      <c r="L61" s="35"/>
      <c r="M61" s="133">
        <v>1300001</v>
      </c>
      <c r="N61" s="35" t="s">
        <v>60</v>
      </c>
      <c r="O61" s="133">
        <v>4100000</v>
      </c>
      <c r="P61" s="133" t="str">
        <f t="shared" ref="P61:U61" si="88">IF(AND(P58&lt;65,$M$61&lt;=P59,P59&lt;=$O$61),ROUNDDOWN(P59*0.25+75000,0),"")</f>
        <v/>
      </c>
      <c r="Q61" s="133" t="str">
        <f t="shared" si="88"/>
        <v/>
      </c>
      <c r="R61" s="133" t="str">
        <f t="shared" si="88"/>
        <v/>
      </c>
      <c r="S61" s="133" t="str">
        <f t="shared" si="88"/>
        <v/>
      </c>
      <c r="T61" s="133" t="str">
        <f t="shared" si="88"/>
        <v/>
      </c>
      <c r="U61" s="133" t="str">
        <f t="shared" si="88"/>
        <v/>
      </c>
      <c r="X61" t="s">
        <v>31</v>
      </c>
    </row>
    <row r="62" spans="1:37">
      <c r="L62" s="35"/>
      <c r="M62" s="133">
        <v>4100001</v>
      </c>
      <c r="N62" s="35" t="s">
        <v>60</v>
      </c>
      <c r="O62" s="133">
        <v>7700000</v>
      </c>
      <c r="P62" s="133" t="str">
        <f t="shared" ref="P62:U62" si="89">IF(AND(P58&lt;65,$M$62&lt;=P59,P59&lt;=$O$62),ROUNDDOWN(P59*0.15+485000,0),"")</f>
        <v/>
      </c>
      <c r="Q62" s="133" t="str">
        <f t="shared" si="89"/>
        <v/>
      </c>
      <c r="R62" s="133" t="str">
        <f t="shared" si="89"/>
        <v/>
      </c>
      <c r="S62" s="133" t="str">
        <f t="shared" si="89"/>
        <v/>
      </c>
      <c r="T62" s="133" t="str">
        <f t="shared" si="89"/>
        <v/>
      </c>
      <c r="U62" s="133" t="str">
        <f t="shared" si="89"/>
        <v/>
      </c>
      <c r="X62" s="192"/>
      <c r="Y62" s="192" t="s">
        <v>340</v>
      </c>
      <c r="Z62" s="192" t="s">
        <v>134</v>
      </c>
      <c r="AA62" s="192" t="s">
        <v>341</v>
      </c>
      <c r="AB62" s="192" t="s">
        <v>50</v>
      </c>
      <c r="AC62" s="192" t="s">
        <v>236</v>
      </c>
      <c r="AD62" s="192" t="s">
        <v>342</v>
      </c>
      <c r="AE62" s="192" t="s">
        <v>20</v>
      </c>
      <c r="AF62" s="192" t="s">
        <v>343</v>
      </c>
      <c r="AG62" s="192" t="s">
        <v>344</v>
      </c>
      <c r="AH62" s="192" t="s">
        <v>67</v>
      </c>
      <c r="AI62" s="192" t="s">
        <v>338</v>
      </c>
      <c r="AJ62" s="192" t="s">
        <v>339</v>
      </c>
    </row>
    <row r="63" spans="1:37">
      <c r="L63" s="35"/>
      <c r="M63" s="133">
        <v>7700001</v>
      </c>
      <c r="N63" s="35" t="s">
        <v>60</v>
      </c>
      <c r="O63" s="133">
        <v>10000000</v>
      </c>
      <c r="P63" s="133" t="str">
        <f t="shared" ref="P63:U63" si="90">IF(AND(P58&lt;65,$M$63&lt;=P59,P59&lt;=$O$63),ROUNDDOWN(P59*0.05+1255000,0),"")</f>
        <v/>
      </c>
      <c r="Q63" s="133" t="str">
        <f t="shared" si="90"/>
        <v/>
      </c>
      <c r="R63" s="133" t="str">
        <f t="shared" si="90"/>
        <v/>
      </c>
      <c r="S63" s="133" t="str">
        <f t="shared" si="90"/>
        <v/>
      </c>
      <c r="T63" s="133" t="str">
        <f t="shared" si="90"/>
        <v/>
      </c>
      <c r="U63" s="133" t="str">
        <f t="shared" si="90"/>
        <v/>
      </c>
      <c r="X63" s="35" t="s">
        <v>347</v>
      </c>
      <c r="Y63" s="133">
        <f t="shared" ref="Y63:AJ63" si="91">IF(Y38&gt;0,($D$43-($D$43*$G$25/10))/12,0)</f>
        <v>0</v>
      </c>
      <c r="Z63" s="133">
        <f t="shared" si="91"/>
        <v>0</v>
      </c>
      <c r="AA63" s="133">
        <f t="shared" si="91"/>
        <v>0</v>
      </c>
      <c r="AB63" s="133">
        <f t="shared" si="91"/>
        <v>0</v>
      </c>
      <c r="AC63" s="133">
        <f t="shared" si="91"/>
        <v>0</v>
      </c>
      <c r="AD63" s="133">
        <f t="shared" si="91"/>
        <v>0</v>
      </c>
      <c r="AE63" s="133">
        <f t="shared" si="91"/>
        <v>0</v>
      </c>
      <c r="AF63" s="133">
        <f t="shared" si="91"/>
        <v>0</v>
      </c>
      <c r="AG63" s="133">
        <f t="shared" si="91"/>
        <v>0</v>
      </c>
      <c r="AH63" s="133">
        <f t="shared" si="91"/>
        <v>0</v>
      </c>
      <c r="AI63" s="133">
        <f t="shared" si="91"/>
        <v>0</v>
      </c>
      <c r="AJ63" s="133">
        <f t="shared" si="91"/>
        <v>0</v>
      </c>
      <c r="AK63" s="134">
        <f>SUM(Y63:AJ63)</f>
        <v>0</v>
      </c>
    </row>
    <row r="64" spans="1:37">
      <c r="L64" s="35"/>
      <c r="M64" s="133">
        <v>10000001</v>
      </c>
      <c r="N64" s="35"/>
      <c r="O64" s="133"/>
      <c r="P64" s="133" t="str">
        <f t="shared" ref="P64:U64" si="92">IF(AND(P58&lt;65,$M$64&lt;=P59),1755000,"")</f>
        <v/>
      </c>
      <c r="Q64" s="133" t="str">
        <f t="shared" si="92"/>
        <v/>
      </c>
      <c r="R64" s="133" t="str">
        <f t="shared" si="92"/>
        <v/>
      </c>
      <c r="S64" s="133" t="str">
        <f t="shared" si="92"/>
        <v/>
      </c>
      <c r="T64" s="133" t="str">
        <f t="shared" si="92"/>
        <v/>
      </c>
      <c r="U64" s="133" t="str">
        <f t="shared" si="92"/>
        <v/>
      </c>
    </row>
    <row r="65" spans="12:37">
      <c r="L65" s="144" t="s">
        <v>30</v>
      </c>
      <c r="M65" s="133"/>
      <c r="N65" s="35" t="s">
        <v>60</v>
      </c>
      <c r="O65" s="133">
        <v>3300000</v>
      </c>
      <c r="P65" s="133">
        <f t="shared" ref="P65:U65" si="93">IF(AND(65&lt;=P58,P59&lt;=$O$65),900000,"")</f>
        <v>900000</v>
      </c>
      <c r="Q65" s="133">
        <f t="shared" si="93"/>
        <v>900000</v>
      </c>
      <c r="R65" s="133">
        <f t="shared" si="93"/>
        <v>900000</v>
      </c>
      <c r="S65" s="133">
        <f t="shared" si="93"/>
        <v>900000</v>
      </c>
      <c r="T65" s="133">
        <f t="shared" si="93"/>
        <v>900000</v>
      </c>
      <c r="U65" s="133">
        <f t="shared" si="93"/>
        <v>900000</v>
      </c>
      <c r="X65" s="126" t="s">
        <v>350</v>
      </c>
      <c r="Y65" s="133">
        <f t="shared" ref="Y65:AJ65" si="94">Y49+Y59+Y63</f>
        <v>0</v>
      </c>
      <c r="Z65" s="133">
        <f t="shared" si="94"/>
        <v>0</v>
      </c>
      <c r="AA65" s="133">
        <f t="shared" si="94"/>
        <v>0</v>
      </c>
      <c r="AB65" s="133">
        <f t="shared" si="94"/>
        <v>0</v>
      </c>
      <c r="AC65" s="133">
        <f t="shared" si="94"/>
        <v>0</v>
      </c>
      <c r="AD65" s="133">
        <f t="shared" si="94"/>
        <v>0</v>
      </c>
      <c r="AE65" s="133">
        <f t="shared" si="94"/>
        <v>0</v>
      </c>
      <c r="AF65" s="133">
        <f t="shared" si="94"/>
        <v>0</v>
      </c>
      <c r="AG65" s="133">
        <f t="shared" si="94"/>
        <v>0</v>
      </c>
      <c r="AH65" s="133">
        <f t="shared" si="94"/>
        <v>0</v>
      </c>
      <c r="AI65" s="133">
        <f t="shared" si="94"/>
        <v>0</v>
      </c>
      <c r="AJ65" s="133">
        <f t="shared" si="94"/>
        <v>0</v>
      </c>
      <c r="AK65" s="134">
        <f>SUM(Y65:AJ65)</f>
        <v>0</v>
      </c>
    </row>
    <row r="66" spans="12:37">
      <c r="L66" s="35"/>
      <c r="M66" s="133">
        <v>3300001</v>
      </c>
      <c r="N66" s="35" t="s">
        <v>60</v>
      </c>
      <c r="O66" s="133">
        <v>4100000</v>
      </c>
      <c r="P66" s="133" t="str">
        <f t="shared" ref="P66:U66" si="95">IF(AND(P58&gt;=65,$M$66&lt;=P59,P59&lt;=$O$66),ROUNDDOWN(P59*0.25+75000,0),"")</f>
        <v/>
      </c>
      <c r="Q66" s="133" t="str">
        <f t="shared" si="95"/>
        <v/>
      </c>
      <c r="R66" s="133" t="str">
        <f t="shared" si="95"/>
        <v/>
      </c>
      <c r="S66" s="133" t="str">
        <f t="shared" si="95"/>
        <v/>
      </c>
      <c r="T66" s="133" t="str">
        <f t="shared" si="95"/>
        <v/>
      </c>
      <c r="U66" s="133" t="str">
        <f t="shared" si="95"/>
        <v/>
      </c>
      <c r="X66" s="126" t="s">
        <v>58</v>
      </c>
      <c r="Y66" s="133">
        <f t="shared" ref="Y66:AJ66" si="96">$B$51/12</f>
        <v>55000</v>
      </c>
      <c r="Z66" s="133">
        <f t="shared" si="96"/>
        <v>55000</v>
      </c>
      <c r="AA66" s="133">
        <f t="shared" si="96"/>
        <v>55000</v>
      </c>
      <c r="AB66" s="133">
        <f t="shared" si="96"/>
        <v>55000</v>
      </c>
      <c r="AC66" s="133">
        <f t="shared" si="96"/>
        <v>55000</v>
      </c>
      <c r="AD66" s="133">
        <f t="shared" si="96"/>
        <v>55000</v>
      </c>
      <c r="AE66" s="133">
        <f t="shared" si="96"/>
        <v>55000</v>
      </c>
      <c r="AF66" s="133">
        <f t="shared" si="96"/>
        <v>55000</v>
      </c>
      <c r="AG66" s="133">
        <f t="shared" si="96"/>
        <v>55000</v>
      </c>
      <c r="AH66" s="133">
        <f t="shared" si="96"/>
        <v>55000</v>
      </c>
      <c r="AI66" s="133">
        <f t="shared" si="96"/>
        <v>55000</v>
      </c>
      <c r="AJ66" s="133">
        <f t="shared" si="96"/>
        <v>55000</v>
      </c>
      <c r="AK66" s="134">
        <f>SUM(Y66:AJ66)</f>
        <v>660000</v>
      </c>
    </row>
    <row r="67" spans="12:37">
      <c r="L67" s="35"/>
      <c r="M67" s="133">
        <v>4100001</v>
      </c>
      <c r="N67" s="35" t="s">
        <v>60</v>
      </c>
      <c r="O67" s="133">
        <v>7700000</v>
      </c>
      <c r="P67" s="133" t="str">
        <f t="shared" ref="P67:U67" si="97">IF(AND(P58&gt;=65,$M$67&lt;=P59,P59&lt;=$O$67),ROUNDDOWN(P59*0.15+485000,0),"")</f>
        <v/>
      </c>
      <c r="Q67" s="133" t="str">
        <f t="shared" si="97"/>
        <v/>
      </c>
      <c r="R67" s="133" t="str">
        <f t="shared" si="97"/>
        <v/>
      </c>
      <c r="S67" s="133" t="str">
        <f t="shared" si="97"/>
        <v/>
      </c>
      <c r="T67" s="133" t="str">
        <f t="shared" si="97"/>
        <v/>
      </c>
      <c r="U67" s="133" t="str">
        <f t="shared" si="97"/>
        <v/>
      </c>
      <c r="X67" s="126" t="s">
        <v>349</v>
      </c>
      <c r="Y67" s="133">
        <f t="shared" ref="Y67:AJ67" si="98">IF(Y65&gt;=Y66,Y66,Y65)</f>
        <v>0</v>
      </c>
      <c r="Z67" s="133">
        <f t="shared" si="98"/>
        <v>0</v>
      </c>
      <c r="AA67" s="133">
        <f t="shared" si="98"/>
        <v>0</v>
      </c>
      <c r="AB67" s="133">
        <f t="shared" si="98"/>
        <v>0</v>
      </c>
      <c r="AC67" s="133">
        <f t="shared" si="98"/>
        <v>0</v>
      </c>
      <c r="AD67" s="133">
        <f t="shared" si="98"/>
        <v>0</v>
      </c>
      <c r="AE67" s="133">
        <f t="shared" si="98"/>
        <v>0</v>
      </c>
      <c r="AF67" s="133">
        <f t="shared" si="98"/>
        <v>0</v>
      </c>
      <c r="AG67" s="133">
        <f t="shared" si="98"/>
        <v>0</v>
      </c>
      <c r="AH67" s="133">
        <f t="shared" si="98"/>
        <v>0</v>
      </c>
      <c r="AI67" s="133">
        <f t="shared" si="98"/>
        <v>0</v>
      </c>
      <c r="AJ67" s="133">
        <f t="shared" si="98"/>
        <v>0</v>
      </c>
      <c r="AK67" s="134">
        <f>SUM(Y67:AJ67)</f>
        <v>0</v>
      </c>
    </row>
    <row r="68" spans="12:37">
      <c r="L68" s="35"/>
      <c r="M68" s="133">
        <v>7700001</v>
      </c>
      <c r="N68" s="35" t="s">
        <v>60</v>
      </c>
      <c r="O68" s="133">
        <v>10000000</v>
      </c>
      <c r="P68" s="133" t="str">
        <f>IF(AND(P58&gt;=65,$M$68&lt;=P59,P59&lt;=$O$68),ROUNDDOWN(P59*0.05+1255000,0),"")</f>
        <v/>
      </c>
      <c r="Q68" s="133" t="str">
        <f>IF(AND(Q58&gt;=65,$M$50&lt;=Q59,Q59&lt;=$O$50),ROUNDDOWN(Q59*0.05+1355000,0),"")</f>
        <v/>
      </c>
      <c r="R68" s="133" t="str">
        <f>IF(AND(R58&gt;=65,$M$50&lt;=R59,R59&lt;=$O$50),ROUNDDOWN(R59*0.05+1355000,0),"")</f>
        <v/>
      </c>
      <c r="S68" s="133" t="str">
        <f>IF(AND(S58&gt;=65,$M$50&lt;=S59,S59&lt;=$O$50),ROUNDDOWN(S59*0.05+1355000,0),"")</f>
        <v/>
      </c>
      <c r="T68" s="133" t="str">
        <f>IF(AND(T58&gt;=65,$M$50&lt;=T59,T59&lt;=$O$50),ROUNDDOWN(T59*0.05+1355000,0),"")</f>
        <v/>
      </c>
      <c r="U68" s="133" t="str">
        <f>IF(AND(U58&gt;=65,$M$50&lt;=U59,U59&lt;=$O$50),ROUNDDOWN(U59*0.05+1355000,0),"")</f>
        <v/>
      </c>
    </row>
    <row r="69" spans="12:37">
      <c r="L69" s="35"/>
      <c r="M69" s="133">
        <v>10000001</v>
      </c>
      <c r="N69" s="35"/>
      <c r="O69" s="133"/>
      <c r="P69" s="133" t="str">
        <f t="shared" ref="P69:U69" si="99">IF(AND(P58&gt;=65,$M$69&lt;=P59),1755000,"")</f>
        <v/>
      </c>
      <c r="Q69" s="133" t="str">
        <f t="shared" si="99"/>
        <v/>
      </c>
      <c r="R69" s="133" t="str">
        <f t="shared" si="99"/>
        <v/>
      </c>
      <c r="S69" s="133" t="str">
        <f t="shared" si="99"/>
        <v/>
      </c>
      <c r="T69" s="133" t="str">
        <f t="shared" si="99"/>
        <v/>
      </c>
      <c r="U69" s="133" t="str">
        <f t="shared" si="99"/>
        <v/>
      </c>
    </row>
    <row r="70" spans="12:37">
      <c r="O70" s="181" t="s">
        <v>71</v>
      </c>
      <c r="P70" s="133">
        <f t="shared" ref="P70:U70" si="100">SUM(P60:P69)</f>
        <v>900000</v>
      </c>
      <c r="Q70" s="133">
        <f t="shared" si="100"/>
        <v>900000</v>
      </c>
      <c r="R70" s="133">
        <f t="shared" si="100"/>
        <v>900000</v>
      </c>
      <c r="S70" s="133">
        <f t="shared" si="100"/>
        <v>900000</v>
      </c>
      <c r="T70" s="133">
        <f t="shared" si="100"/>
        <v>900000</v>
      </c>
      <c r="U70" s="133">
        <f t="shared" si="100"/>
        <v>900000</v>
      </c>
      <c r="X70" t="s">
        <v>365</v>
      </c>
    </row>
    <row r="71" spans="12:37">
      <c r="O71" s="181" t="s">
        <v>23</v>
      </c>
      <c r="P71" s="133">
        <f t="shared" ref="P71:U71" si="101">IF(P59-P70&gt;=0,P59-P70,0)</f>
        <v>0</v>
      </c>
      <c r="Q71" s="133">
        <f t="shared" si="101"/>
        <v>0</v>
      </c>
      <c r="R71" s="133">
        <f t="shared" si="101"/>
        <v>0</v>
      </c>
      <c r="S71" s="133">
        <f t="shared" si="101"/>
        <v>0</v>
      </c>
      <c r="T71" s="133">
        <f t="shared" si="101"/>
        <v>0</v>
      </c>
      <c r="U71" s="133">
        <f t="shared" si="101"/>
        <v>0</v>
      </c>
      <c r="X71" s="193"/>
      <c r="Y71" s="193" t="s">
        <v>340</v>
      </c>
      <c r="Z71" s="193" t="s">
        <v>134</v>
      </c>
      <c r="AA71" s="193" t="s">
        <v>341</v>
      </c>
      <c r="AB71" s="193" t="s">
        <v>50</v>
      </c>
      <c r="AC71" s="193" t="s">
        <v>236</v>
      </c>
      <c r="AD71" s="193" t="s">
        <v>342</v>
      </c>
      <c r="AE71" s="193" t="s">
        <v>20</v>
      </c>
      <c r="AF71" s="193" t="s">
        <v>343</v>
      </c>
      <c r="AG71" s="193" t="s">
        <v>344</v>
      </c>
      <c r="AH71" s="193" t="s">
        <v>67</v>
      </c>
      <c r="AI71" s="193" t="s">
        <v>338</v>
      </c>
      <c r="AJ71" s="193" t="s">
        <v>339</v>
      </c>
    </row>
    <row r="72" spans="12:37">
      <c r="X72" s="35" t="s">
        <v>9</v>
      </c>
      <c r="Y72" s="133">
        <f t="shared" ref="Y72:AJ72" si="102">$E$43*$G$3*Y32/12</f>
        <v>0</v>
      </c>
      <c r="Z72" s="133">
        <f t="shared" si="102"/>
        <v>0</v>
      </c>
      <c r="AA72" s="133">
        <f t="shared" si="102"/>
        <v>0</v>
      </c>
      <c r="AB72" s="133">
        <f t="shared" si="102"/>
        <v>0</v>
      </c>
      <c r="AC72" s="133">
        <f t="shared" si="102"/>
        <v>0</v>
      </c>
      <c r="AD72" s="133">
        <f t="shared" si="102"/>
        <v>0</v>
      </c>
      <c r="AE72" s="133">
        <f t="shared" si="102"/>
        <v>0</v>
      </c>
      <c r="AF72" s="133">
        <f t="shared" si="102"/>
        <v>0</v>
      </c>
      <c r="AG72" s="133">
        <f t="shared" si="102"/>
        <v>0</v>
      </c>
      <c r="AH72" s="133">
        <f t="shared" si="102"/>
        <v>0</v>
      </c>
      <c r="AI72" s="133">
        <f t="shared" si="102"/>
        <v>0</v>
      </c>
      <c r="AJ72" s="133">
        <f t="shared" si="102"/>
        <v>0</v>
      </c>
      <c r="AK72" s="134">
        <f t="shared" ref="AK72:AK78" si="103">SUM(Y72:AJ72)</f>
        <v>0</v>
      </c>
    </row>
    <row r="73" spans="12:37">
      <c r="X73" s="35" t="s">
        <v>11</v>
      </c>
      <c r="Y73" s="133">
        <f t="shared" ref="Y73:AJ73" si="104">$E$43*$G$4*Y33/12</f>
        <v>0</v>
      </c>
      <c r="Z73" s="133">
        <f t="shared" si="104"/>
        <v>0</v>
      </c>
      <c r="AA73" s="133">
        <f t="shared" si="104"/>
        <v>0</v>
      </c>
      <c r="AB73" s="133">
        <f t="shared" si="104"/>
        <v>0</v>
      </c>
      <c r="AC73" s="133">
        <f t="shared" si="104"/>
        <v>0</v>
      </c>
      <c r="AD73" s="133">
        <f t="shared" si="104"/>
        <v>0</v>
      </c>
      <c r="AE73" s="133">
        <f t="shared" si="104"/>
        <v>0</v>
      </c>
      <c r="AF73" s="133">
        <f t="shared" si="104"/>
        <v>0</v>
      </c>
      <c r="AG73" s="133">
        <f t="shared" si="104"/>
        <v>0</v>
      </c>
      <c r="AH73" s="133">
        <f t="shared" si="104"/>
        <v>0</v>
      </c>
      <c r="AI73" s="133">
        <f t="shared" si="104"/>
        <v>0</v>
      </c>
      <c r="AJ73" s="133">
        <f t="shared" si="104"/>
        <v>0</v>
      </c>
      <c r="AK73" s="134">
        <f t="shared" si="103"/>
        <v>0</v>
      </c>
    </row>
    <row r="74" spans="12:37">
      <c r="P74" s="185" t="s">
        <v>9</v>
      </c>
      <c r="Q74" s="185" t="s">
        <v>11</v>
      </c>
      <c r="R74" s="185" t="s">
        <v>12</v>
      </c>
      <c r="S74" s="185" t="s">
        <v>15</v>
      </c>
      <c r="T74" s="185" t="s">
        <v>10</v>
      </c>
      <c r="U74" s="185" t="s">
        <v>5</v>
      </c>
      <c r="X74" s="35" t="s">
        <v>12</v>
      </c>
      <c r="Y74" s="133">
        <f t="shared" ref="Y74:AJ74" si="105">$E$43*$G$5*Y34/12</f>
        <v>0</v>
      </c>
      <c r="Z74" s="133">
        <f t="shared" si="105"/>
        <v>0</v>
      </c>
      <c r="AA74" s="133">
        <f t="shared" si="105"/>
        <v>0</v>
      </c>
      <c r="AB74" s="133">
        <f t="shared" si="105"/>
        <v>0</v>
      </c>
      <c r="AC74" s="133">
        <f t="shared" si="105"/>
        <v>0</v>
      </c>
      <c r="AD74" s="133">
        <f t="shared" si="105"/>
        <v>0</v>
      </c>
      <c r="AE74" s="133">
        <f t="shared" si="105"/>
        <v>0</v>
      </c>
      <c r="AF74" s="133">
        <f t="shared" si="105"/>
        <v>0</v>
      </c>
      <c r="AG74" s="133">
        <f t="shared" si="105"/>
        <v>0</v>
      </c>
      <c r="AH74" s="133">
        <f t="shared" si="105"/>
        <v>0</v>
      </c>
      <c r="AI74" s="133">
        <f t="shared" si="105"/>
        <v>0</v>
      </c>
      <c r="AJ74" s="133">
        <f t="shared" si="105"/>
        <v>0</v>
      </c>
      <c r="AK74" s="134">
        <f t="shared" si="103"/>
        <v>0</v>
      </c>
    </row>
    <row r="75" spans="12:37">
      <c r="O75" s="182" t="s">
        <v>13</v>
      </c>
      <c r="P75" s="186">
        <f>B3+D3</f>
        <v>0</v>
      </c>
      <c r="Q75" s="187">
        <f>B4+D4</f>
        <v>0</v>
      </c>
      <c r="R75" s="187">
        <f>B5+D5</f>
        <v>0</v>
      </c>
      <c r="S75" s="187">
        <f>B6+D6</f>
        <v>0</v>
      </c>
      <c r="T75" s="187">
        <f>B7+D7</f>
        <v>0</v>
      </c>
      <c r="U75" s="187">
        <f>B8+D8</f>
        <v>0</v>
      </c>
      <c r="X75" s="35" t="s">
        <v>15</v>
      </c>
      <c r="Y75" s="133">
        <f t="shared" ref="Y75:AJ75" si="106">$E$43*$G$6*Y35/12</f>
        <v>0</v>
      </c>
      <c r="Z75" s="133">
        <f t="shared" si="106"/>
        <v>0</v>
      </c>
      <c r="AA75" s="133">
        <f t="shared" si="106"/>
        <v>0</v>
      </c>
      <c r="AB75" s="133">
        <f t="shared" si="106"/>
        <v>0</v>
      </c>
      <c r="AC75" s="133">
        <f t="shared" si="106"/>
        <v>0</v>
      </c>
      <c r="AD75" s="133">
        <f t="shared" si="106"/>
        <v>0</v>
      </c>
      <c r="AE75" s="133">
        <f t="shared" si="106"/>
        <v>0</v>
      </c>
      <c r="AF75" s="133">
        <f t="shared" si="106"/>
        <v>0</v>
      </c>
      <c r="AG75" s="133">
        <f t="shared" si="106"/>
        <v>0</v>
      </c>
      <c r="AH75" s="133">
        <f t="shared" si="106"/>
        <v>0</v>
      </c>
      <c r="AI75" s="133">
        <f t="shared" si="106"/>
        <v>0</v>
      </c>
      <c r="AJ75" s="133">
        <f t="shared" si="106"/>
        <v>0</v>
      </c>
      <c r="AK75" s="134">
        <f t="shared" si="103"/>
        <v>0</v>
      </c>
    </row>
    <row r="76" spans="12:37">
      <c r="O76" s="182" t="s">
        <v>45</v>
      </c>
      <c r="P76" s="187">
        <f t="shared" ref="P76:U76" si="107">IF(P75&lt;=10000000,P35,IF(AND(10000001&lt;=P75,P75&gt;=20000000),P53,IF(20000001&lt;=P75,P71,0)))</f>
        <v>0</v>
      </c>
      <c r="Q76" s="187">
        <f t="shared" si="107"/>
        <v>0</v>
      </c>
      <c r="R76" s="187">
        <f t="shared" si="107"/>
        <v>0</v>
      </c>
      <c r="S76" s="187">
        <f t="shared" si="107"/>
        <v>0</v>
      </c>
      <c r="T76" s="187">
        <f t="shared" si="107"/>
        <v>0</v>
      </c>
      <c r="U76" s="187">
        <f t="shared" si="107"/>
        <v>0</v>
      </c>
      <c r="X76" s="35" t="s">
        <v>10</v>
      </c>
      <c r="Y76" s="133">
        <f t="shared" ref="Y76:AJ76" si="108">$E$43*$G$7*Y36/12</f>
        <v>0</v>
      </c>
      <c r="Z76" s="133">
        <f t="shared" si="108"/>
        <v>0</v>
      </c>
      <c r="AA76" s="133">
        <f t="shared" si="108"/>
        <v>0</v>
      </c>
      <c r="AB76" s="133">
        <f t="shared" si="108"/>
        <v>0</v>
      </c>
      <c r="AC76" s="133">
        <f t="shared" si="108"/>
        <v>0</v>
      </c>
      <c r="AD76" s="133">
        <f t="shared" si="108"/>
        <v>0</v>
      </c>
      <c r="AE76" s="133">
        <f t="shared" si="108"/>
        <v>0</v>
      </c>
      <c r="AF76" s="133">
        <f t="shared" si="108"/>
        <v>0</v>
      </c>
      <c r="AG76" s="133">
        <f t="shared" si="108"/>
        <v>0</v>
      </c>
      <c r="AH76" s="133">
        <f t="shared" si="108"/>
        <v>0</v>
      </c>
      <c r="AI76" s="133">
        <f t="shared" si="108"/>
        <v>0</v>
      </c>
      <c r="AJ76" s="133">
        <f t="shared" si="108"/>
        <v>0</v>
      </c>
      <c r="AK76" s="134">
        <f t="shared" si="103"/>
        <v>0</v>
      </c>
    </row>
    <row r="77" spans="12:37">
      <c r="X77" s="35" t="s">
        <v>5</v>
      </c>
      <c r="Y77" s="133">
        <f t="shared" ref="Y77:AJ77" si="109">$E$43*$G$8*Y37/12</f>
        <v>0</v>
      </c>
      <c r="Z77" s="133">
        <f t="shared" si="109"/>
        <v>0</v>
      </c>
      <c r="AA77" s="133">
        <f t="shared" si="109"/>
        <v>0</v>
      </c>
      <c r="AB77" s="133">
        <f t="shared" si="109"/>
        <v>0</v>
      </c>
      <c r="AC77" s="133">
        <f t="shared" si="109"/>
        <v>0</v>
      </c>
      <c r="AD77" s="133">
        <f t="shared" si="109"/>
        <v>0</v>
      </c>
      <c r="AE77" s="133">
        <f t="shared" si="109"/>
        <v>0</v>
      </c>
      <c r="AF77" s="133">
        <f t="shared" si="109"/>
        <v>0</v>
      </c>
      <c r="AG77" s="133">
        <f t="shared" si="109"/>
        <v>0</v>
      </c>
      <c r="AH77" s="133">
        <f t="shared" si="109"/>
        <v>0</v>
      </c>
      <c r="AI77" s="133">
        <f t="shared" si="109"/>
        <v>0</v>
      </c>
      <c r="AJ77" s="133">
        <f t="shared" si="109"/>
        <v>0</v>
      </c>
      <c r="AK77" s="134">
        <f t="shared" si="103"/>
        <v>0</v>
      </c>
    </row>
    <row r="78" spans="12:37">
      <c r="X78" s="35" t="s">
        <v>347</v>
      </c>
      <c r="Y78" s="133">
        <f t="shared" ref="Y78:AJ78" si="110">SUM(Y72:Y77)</f>
        <v>0</v>
      </c>
      <c r="Z78" s="133">
        <f t="shared" si="110"/>
        <v>0</v>
      </c>
      <c r="AA78" s="133">
        <f t="shared" si="110"/>
        <v>0</v>
      </c>
      <c r="AB78" s="133">
        <f t="shared" si="110"/>
        <v>0</v>
      </c>
      <c r="AC78" s="133">
        <f t="shared" si="110"/>
        <v>0</v>
      </c>
      <c r="AD78" s="133">
        <f t="shared" si="110"/>
        <v>0</v>
      </c>
      <c r="AE78" s="133">
        <f t="shared" si="110"/>
        <v>0</v>
      </c>
      <c r="AF78" s="133">
        <f t="shared" si="110"/>
        <v>0</v>
      </c>
      <c r="AG78" s="133">
        <f t="shared" si="110"/>
        <v>0</v>
      </c>
      <c r="AH78" s="133">
        <f t="shared" si="110"/>
        <v>0</v>
      </c>
      <c r="AI78" s="133">
        <f t="shared" si="110"/>
        <v>0</v>
      </c>
      <c r="AJ78" s="133">
        <f t="shared" si="110"/>
        <v>0</v>
      </c>
      <c r="AK78" s="134">
        <f t="shared" si="103"/>
        <v>0</v>
      </c>
    </row>
    <row r="79" spans="12:37">
      <c r="L79" s="176" t="s">
        <v>333</v>
      </c>
      <c r="M79" s="176"/>
      <c r="N79" s="179"/>
      <c r="O79" s="176"/>
      <c r="P79" s="176"/>
      <c r="Q79" s="176"/>
      <c r="R79" s="176"/>
      <c r="S79" s="176"/>
      <c r="T79" s="176"/>
      <c r="U79" s="176"/>
    </row>
    <row r="80" spans="12:37">
      <c r="L80" s="177" t="s">
        <v>97</v>
      </c>
      <c r="M80" s="178"/>
      <c r="N80" s="178"/>
      <c r="O80" s="183"/>
      <c r="P80" s="188" t="s">
        <v>9</v>
      </c>
      <c r="Q80" s="188" t="s">
        <v>11</v>
      </c>
      <c r="R80" s="188" t="s">
        <v>12</v>
      </c>
      <c r="S80" s="188" t="s">
        <v>15</v>
      </c>
      <c r="T80" s="188" t="s">
        <v>10</v>
      </c>
      <c r="U80" s="188" t="s">
        <v>5</v>
      </c>
      <c r="X80" t="s">
        <v>319</v>
      </c>
    </row>
    <row r="81" spans="12:37">
      <c r="L81" s="177" t="s">
        <v>334</v>
      </c>
      <c r="M81" s="178"/>
      <c r="N81" s="178"/>
      <c r="O81" s="183"/>
      <c r="P81" s="189">
        <f t="shared" ref="P81:U81" si="111">IF(P15&gt;=100000,100000,P15)</f>
        <v>0</v>
      </c>
      <c r="Q81" s="189">
        <f t="shared" si="111"/>
        <v>0</v>
      </c>
      <c r="R81" s="189">
        <f t="shared" si="111"/>
        <v>0</v>
      </c>
      <c r="S81" s="189">
        <f t="shared" si="111"/>
        <v>0</v>
      </c>
      <c r="T81" s="189">
        <f t="shared" si="111"/>
        <v>0</v>
      </c>
      <c r="U81" s="189">
        <f t="shared" si="111"/>
        <v>0</v>
      </c>
      <c r="X81" s="193"/>
      <c r="Y81" s="193" t="s">
        <v>340</v>
      </c>
      <c r="Z81" s="193" t="s">
        <v>134</v>
      </c>
      <c r="AA81" s="193" t="s">
        <v>341</v>
      </c>
      <c r="AB81" s="193" t="s">
        <v>50</v>
      </c>
      <c r="AC81" s="193" t="s">
        <v>236</v>
      </c>
      <c r="AD81" s="193" t="s">
        <v>342</v>
      </c>
      <c r="AE81" s="193" t="s">
        <v>20</v>
      </c>
      <c r="AF81" s="193" t="s">
        <v>343</v>
      </c>
      <c r="AG81" s="193" t="s">
        <v>344</v>
      </c>
      <c r="AH81" s="193" t="s">
        <v>67</v>
      </c>
      <c r="AI81" s="193" t="s">
        <v>338</v>
      </c>
      <c r="AJ81" s="193" t="s">
        <v>339</v>
      </c>
    </row>
    <row r="82" spans="12:37">
      <c r="L82" s="177" t="s">
        <v>335</v>
      </c>
      <c r="M82" s="178"/>
      <c r="N82" s="178"/>
      <c r="O82" s="183"/>
      <c r="P82" s="189">
        <f t="shared" ref="P82:U82" si="112">IF(P76&gt;=100000,100000,P76)</f>
        <v>0</v>
      </c>
      <c r="Q82" s="189">
        <f t="shared" si="112"/>
        <v>0</v>
      </c>
      <c r="R82" s="189">
        <f t="shared" si="112"/>
        <v>0</v>
      </c>
      <c r="S82" s="189">
        <f t="shared" si="112"/>
        <v>0</v>
      </c>
      <c r="T82" s="189">
        <f t="shared" si="112"/>
        <v>0</v>
      </c>
      <c r="U82" s="189">
        <f t="shared" si="112"/>
        <v>0</v>
      </c>
      <c r="X82" s="35" t="s">
        <v>9</v>
      </c>
      <c r="Y82" s="133">
        <f t="shared" ref="Y82:AJ82" si="113">($F$43-($F$43*$G$25/10)-($F$43*$E$31/10))*Y32/12</f>
        <v>0</v>
      </c>
      <c r="Z82" s="133">
        <f t="shared" si="113"/>
        <v>0</v>
      </c>
      <c r="AA82" s="133">
        <f t="shared" si="113"/>
        <v>0</v>
      </c>
      <c r="AB82" s="133">
        <f t="shared" si="113"/>
        <v>0</v>
      </c>
      <c r="AC82" s="133">
        <f t="shared" si="113"/>
        <v>0</v>
      </c>
      <c r="AD82" s="133">
        <f t="shared" si="113"/>
        <v>0</v>
      </c>
      <c r="AE82" s="133">
        <f t="shared" si="113"/>
        <v>0</v>
      </c>
      <c r="AF82" s="133">
        <f t="shared" si="113"/>
        <v>0</v>
      </c>
      <c r="AG82" s="133">
        <f t="shared" si="113"/>
        <v>0</v>
      </c>
      <c r="AH82" s="133">
        <f t="shared" si="113"/>
        <v>0</v>
      </c>
      <c r="AI82" s="133">
        <f t="shared" si="113"/>
        <v>0</v>
      </c>
      <c r="AJ82" s="133">
        <f t="shared" si="113"/>
        <v>0</v>
      </c>
      <c r="AK82" s="134">
        <f t="shared" ref="AK82:AK88" si="114">SUM(Y82:AJ82)</f>
        <v>0</v>
      </c>
    </row>
    <row r="83" spans="12:37">
      <c r="L83" s="177" t="s">
        <v>32</v>
      </c>
      <c r="M83" s="178"/>
      <c r="N83" s="178"/>
      <c r="O83" s="183"/>
      <c r="P83" s="189">
        <f t="shared" ref="P83:U83" si="115">IF(SUM(P81:P82)&lt;100000,0,SUM(P81:P82)-100000)</f>
        <v>0</v>
      </c>
      <c r="Q83" s="189">
        <f t="shared" si="115"/>
        <v>0</v>
      </c>
      <c r="R83" s="189">
        <f t="shared" si="115"/>
        <v>0</v>
      </c>
      <c r="S83" s="189">
        <f t="shared" si="115"/>
        <v>0</v>
      </c>
      <c r="T83" s="189">
        <f t="shared" si="115"/>
        <v>0</v>
      </c>
      <c r="U83" s="189">
        <f t="shared" si="115"/>
        <v>0</v>
      </c>
      <c r="X83" s="35" t="s">
        <v>11</v>
      </c>
      <c r="Y83" s="133">
        <f t="shared" ref="Y83:AJ83" si="116">($F$43-($F$43*$G$25/10)-($F$43*$E$32/10))*Y33/12</f>
        <v>0</v>
      </c>
      <c r="Z83" s="133">
        <f t="shared" si="116"/>
        <v>0</v>
      </c>
      <c r="AA83" s="133">
        <f t="shared" si="116"/>
        <v>0</v>
      </c>
      <c r="AB83" s="133">
        <f t="shared" si="116"/>
        <v>0</v>
      </c>
      <c r="AC83" s="133">
        <f t="shared" si="116"/>
        <v>0</v>
      </c>
      <c r="AD83" s="133">
        <f t="shared" si="116"/>
        <v>0</v>
      </c>
      <c r="AE83" s="133">
        <f t="shared" si="116"/>
        <v>0</v>
      </c>
      <c r="AF83" s="133">
        <f t="shared" si="116"/>
        <v>0</v>
      </c>
      <c r="AG83" s="133">
        <f t="shared" si="116"/>
        <v>0</v>
      </c>
      <c r="AH83" s="133">
        <f t="shared" si="116"/>
        <v>0</v>
      </c>
      <c r="AI83" s="133">
        <f t="shared" si="116"/>
        <v>0</v>
      </c>
      <c r="AJ83" s="133">
        <f t="shared" si="116"/>
        <v>0</v>
      </c>
      <c r="AK83" s="134">
        <f t="shared" si="114"/>
        <v>0</v>
      </c>
    </row>
    <row r="84" spans="12:37">
      <c r="X84" s="35" t="s">
        <v>12</v>
      </c>
      <c r="Y84" s="133">
        <f t="shared" ref="Y84:AJ84" si="117">($F$43-($F$43*$G$25/10)-($F$43*$E$33/10))*Y34/12</f>
        <v>0</v>
      </c>
      <c r="Z84" s="133">
        <f t="shared" si="117"/>
        <v>0</v>
      </c>
      <c r="AA84" s="133">
        <f t="shared" si="117"/>
        <v>0</v>
      </c>
      <c r="AB84" s="133">
        <f t="shared" si="117"/>
        <v>0</v>
      </c>
      <c r="AC84" s="133">
        <f t="shared" si="117"/>
        <v>0</v>
      </c>
      <c r="AD84" s="133">
        <f t="shared" si="117"/>
        <v>0</v>
      </c>
      <c r="AE84" s="133">
        <f t="shared" si="117"/>
        <v>0</v>
      </c>
      <c r="AF84" s="133">
        <f t="shared" si="117"/>
        <v>0</v>
      </c>
      <c r="AG84" s="133">
        <f t="shared" si="117"/>
        <v>0</v>
      </c>
      <c r="AH84" s="133">
        <f t="shared" si="117"/>
        <v>0</v>
      </c>
      <c r="AI84" s="133">
        <f t="shared" si="117"/>
        <v>0</v>
      </c>
      <c r="AJ84" s="133">
        <f t="shared" si="117"/>
        <v>0</v>
      </c>
      <c r="AK84" s="134">
        <f t="shared" si="114"/>
        <v>0</v>
      </c>
    </row>
    <row r="85" spans="12:37">
      <c r="X85" s="35" t="s">
        <v>15</v>
      </c>
      <c r="Y85" s="133">
        <f t="shared" ref="Y85:AJ85" si="118">($F$43-($F$43*$G$25/10)-($F$43*$E$34/10))*Y35/12</f>
        <v>0</v>
      </c>
      <c r="Z85" s="133">
        <f t="shared" si="118"/>
        <v>0</v>
      </c>
      <c r="AA85" s="133">
        <f t="shared" si="118"/>
        <v>0</v>
      </c>
      <c r="AB85" s="133">
        <f t="shared" si="118"/>
        <v>0</v>
      </c>
      <c r="AC85" s="133">
        <f t="shared" si="118"/>
        <v>0</v>
      </c>
      <c r="AD85" s="133">
        <f t="shared" si="118"/>
        <v>0</v>
      </c>
      <c r="AE85" s="133">
        <f t="shared" si="118"/>
        <v>0</v>
      </c>
      <c r="AF85" s="133">
        <f t="shared" si="118"/>
        <v>0</v>
      </c>
      <c r="AG85" s="133">
        <f t="shared" si="118"/>
        <v>0</v>
      </c>
      <c r="AH85" s="133">
        <f t="shared" si="118"/>
        <v>0</v>
      </c>
      <c r="AI85" s="133">
        <f t="shared" si="118"/>
        <v>0</v>
      </c>
      <c r="AJ85" s="133">
        <f t="shared" si="118"/>
        <v>0</v>
      </c>
      <c r="AK85" s="134">
        <f t="shared" si="114"/>
        <v>0</v>
      </c>
    </row>
    <row r="86" spans="12:37">
      <c r="X86" s="35" t="s">
        <v>10</v>
      </c>
      <c r="Y86" s="133">
        <f t="shared" ref="Y86:AJ86" si="119">($F$43-($F$43*$G$25/10)-($F$43*$E$35/10))*Y36/12</f>
        <v>0</v>
      </c>
      <c r="Z86" s="133">
        <f t="shared" si="119"/>
        <v>0</v>
      </c>
      <c r="AA86" s="133">
        <f t="shared" si="119"/>
        <v>0</v>
      </c>
      <c r="AB86" s="133">
        <f t="shared" si="119"/>
        <v>0</v>
      </c>
      <c r="AC86" s="133">
        <f t="shared" si="119"/>
        <v>0</v>
      </c>
      <c r="AD86" s="133">
        <f t="shared" si="119"/>
        <v>0</v>
      </c>
      <c r="AE86" s="133">
        <f t="shared" si="119"/>
        <v>0</v>
      </c>
      <c r="AF86" s="133">
        <f t="shared" si="119"/>
        <v>0</v>
      </c>
      <c r="AG86" s="133">
        <f t="shared" si="119"/>
        <v>0</v>
      </c>
      <c r="AH86" s="133">
        <f t="shared" si="119"/>
        <v>0</v>
      </c>
      <c r="AI86" s="133">
        <f t="shared" si="119"/>
        <v>0</v>
      </c>
      <c r="AJ86" s="133">
        <f t="shared" si="119"/>
        <v>0</v>
      </c>
      <c r="AK86" s="134">
        <f t="shared" si="114"/>
        <v>0</v>
      </c>
    </row>
    <row r="87" spans="12:37">
      <c r="X87" s="35" t="s">
        <v>5</v>
      </c>
      <c r="Y87" s="133">
        <f t="shared" ref="Y87:AJ87" si="120">($F$43-($F$43*$G$25/10)-($F$43*$E$36/10))*Y37/12</f>
        <v>0</v>
      </c>
      <c r="Z87" s="133">
        <f t="shared" si="120"/>
        <v>0</v>
      </c>
      <c r="AA87" s="133">
        <f t="shared" si="120"/>
        <v>0</v>
      </c>
      <c r="AB87" s="133">
        <f t="shared" si="120"/>
        <v>0</v>
      </c>
      <c r="AC87" s="133">
        <f t="shared" si="120"/>
        <v>0</v>
      </c>
      <c r="AD87" s="133">
        <f t="shared" si="120"/>
        <v>0</v>
      </c>
      <c r="AE87" s="133">
        <f t="shared" si="120"/>
        <v>0</v>
      </c>
      <c r="AF87" s="133">
        <f t="shared" si="120"/>
        <v>0</v>
      </c>
      <c r="AG87" s="133">
        <f t="shared" si="120"/>
        <v>0</v>
      </c>
      <c r="AH87" s="133">
        <f t="shared" si="120"/>
        <v>0</v>
      </c>
      <c r="AI87" s="133">
        <f t="shared" si="120"/>
        <v>0</v>
      </c>
      <c r="AJ87" s="133">
        <f t="shared" si="120"/>
        <v>0</v>
      </c>
      <c r="AK87" s="134">
        <f t="shared" si="114"/>
        <v>0</v>
      </c>
    </row>
    <row r="88" spans="12:37">
      <c r="X88" s="35" t="s">
        <v>347</v>
      </c>
      <c r="Y88" s="133">
        <f t="shared" ref="Y88:AJ88" si="121">SUM(Y82:Y87)</f>
        <v>0</v>
      </c>
      <c r="Z88" s="133">
        <f t="shared" si="121"/>
        <v>0</v>
      </c>
      <c r="AA88" s="133">
        <f t="shared" si="121"/>
        <v>0</v>
      </c>
      <c r="AB88" s="133">
        <f t="shared" si="121"/>
        <v>0</v>
      </c>
      <c r="AC88" s="133">
        <f t="shared" si="121"/>
        <v>0</v>
      </c>
      <c r="AD88" s="133">
        <f t="shared" si="121"/>
        <v>0</v>
      </c>
      <c r="AE88" s="133">
        <f t="shared" si="121"/>
        <v>0</v>
      </c>
      <c r="AF88" s="133">
        <f t="shared" si="121"/>
        <v>0</v>
      </c>
      <c r="AG88" s="133">
        <f t="shared" si="121"/>
        <v>0</v>
      </c>
      <c r="AH88" s="133">
        <f t="shared" si="121"/>
        <v>0</v>
      </c>
      <c r="AI88" s="133">
        <f t="shared" si="121"/>
        <v>0</v>
      </c>
      <c r="AJ88" s="133">
        <f t="shared" si="121"/>
        <v>0</v>
      </c>
      <c r="AK88" s="134">
        <f t="shared" si="114"/>
        <v>0</v>
      </c>
    </row>
    <row r="90" spans="12:37">
      <c r="X90" t="s">
        <v>366</v>
      </c>
    </row>
    <row r="91" spans="12:37">
      <c r="X91" s="193"/>
      <c r="Y91" s="193" t="s">
        <v>340</v>
      </c>
      <c r="Z91" s="193" t="s">
        <v>134</v>
      </c>
      <c r="AA91" s="193" t="s">
        <v>341</v>
      </c>
      <c r="AB91" s="193" t="s">
        <v>50</v>
      </c>
      <c r="AC91" s="193" t="s">
        <v>236</v>
      </c>
      <c r="AD91" s="193" t="s">
        <v>342</v>
      </c>
      <c r="AE91" s="193" t="s">
        <v>20</v>
      </c>
      <c r="AF91" s="193" t="s">
        <v>343</v>
      </c>
      <c r="AG91" s="193" t="s">
        <v>344</v>
      </c>
      <c r="AH91" s="193" t="s">
        <v>67</v>
      </c>
      <c r="AI91" s="193" t="s">
        <v>338</v>
      </c>
      <c r="AJ91" s="193" t="s">
        <v>339</v>
      </c>
    </row>
    <row r="92" spans="12:37">
      <c r="X92" s="35" t="s">
        <v>347</v>
      </c>
      <c r="Y92" s="133">
        <f t="shared" ref="Y92:AJ92" si="122">IF(Y38&gt;0,($G$43-($G$43*$G$25/10))/12,0)</f>
        <v>0</v>
      </c>
      <c r="Z92" s="133">
        <f t="shared" si="122"/>
        <v>0</v>
      </c>
      <c r="AA92" s="133">
        <f t="shared" si="122"/>
        <v>0</v>
      </c>
      <c r="AB92" s="133">
        <f t="shared" si="122"/>
        <v>0</v>
      </c>
      <c r="AC92" s="133">
        <f t="shared" si="122"/>
        <v>0</v>
      </c>
      <c r="AD92" s="133">
        <f t="shared" si="122"/>
        <v>0</v>
      </c>
      <c r="AE92" s="133">
        <f t="shared" si="122"/>
        <v>0</v>
      </c>
      <c r="AF92" s="133">
        <f t="shared" si="122"/>
        <v>0</v>
      </c>
      <c r="AG92" s="133">
        <f t="shared" si="122"/>
        <v>0</v>
      </c>
      <c r="AH92" s="133">
        <f t="shared" si="122"/>
        <v>0</v>
      </c>
      <c r="AI92" s="133">
        <f t="shared" si="122"/>
        <v>0</v>
      </c>
      <c r="AJ92" s="133">
        <f t="shared" si="122"/>
        <v>0</v>
      </c>
      <c r="AK92" s="134">
        <f>SUM(Y92:AJ92)</f>
        <v>0</v>
      </c>
    </row>
    <row r="94" spans="12:37">
      <c r="X94" s="126" t="s">
        <v>350</v>
      </c>
      <c r="Y94" s="133">
        <f t="shared" ref="Y94:AJ94" si="123">Y78+Y88+Y92</f>
        <v>0</v>
      </c>
      <c r="Z94" s="133">
        <f t="shared" si="123"/>
        <v>0</v>
      </c>
      <c r="AA94" s="133">
        <f t="shared" si="123"/>
        <v>0</v>
      </c>
      <c r="AB94" s="133">
        <f t="shared" si="123"/>
        <v>0</v>
      </c>
      <c r="AC94" s="133">
        <f t="shared" si="123"/>
        <v>0</v>
      </c>
      <c r="AD94" s="133">
        <f t="shared" si="123"/>
        <v>0</v>
      </c>
      <c r="AE94" s="133">
        <f t="shared" si="123"/>
        <v>0</v>
      </c>
      <c r="AF94" s="133">
        <f t="shared" si="123"/>
        <v>0</v>
      </c>
      <c r="AG94" s="133">
        <f t="shared" si="123"/>
        <v>0</v>
      </c>
      <c r="AH94" s="133">
        <f t="shared" si="123"/>
        <v>0</v>
      </c>
      <c r="AI94" s="133">
        <f t="shared" si="123"/>
        <v>0</v>
      </c>
      <c r="AJ94" s="133">
        <f t="shared" si="123"/>
        <v>0</v>
      </c>
      <c r="AK94" s="134">
        <f>SUM(Y94:AJ94)</f>
        <v>0</v>
      </c>
    </row>
    <row r="95" spans="12:37">
      <c r="X95" s="126" t="s">
        <v>58</v>
      </c>
      <c r="Y95" s="133">
        <f t="shared" ref="Y95:AJ95" si="124">$E$51/12</f>
        <v>21666.666666666668</v>
      </c>
      <c r="Z95" s="133">
        <f t="shared" si="124"/>
        <v>21666.666666666668</v>
      </c>
      <c r="AA95" s="133">
        <f t="shared" si="124"/>
        <v>21666.666666666668</v>
      </c>
      <c r="AB95" s="133">
        <f t="shared" si="124"/>
        <v>21666.666666666668</v>
      </c>
      <c r="AC95" s="133">
        <f t="shared" si="124"/>
        <v>21666.666666666668</v>
      </c>
      <c r="AD95" s="133">
        <f t="shared" si="124"/>
        <v>21666.666666666668</v>
      </c>
      <c r="AE95" s="133">
        <f t="shared" si="124"/>
        <v>21666.666666666668</v>
      </c>
      <c r="AF95" s="133">
        <f t="shared" si="124"/>
        <v>21666.666666666668</v>
      </c>
      <c r="AG95" s="133">
        <f t="shared" si="124"/>
        <v>21666.666666666668</v>
      </c>
      <c r="AH95" s="133">
        <f t="shared" si="124"/>
        <v>21666.666666666668</v>
      </c>
      <c r="AI95" s="133">
        <f t="shared" si="124"/>
        <v>21666.666666666668</v>
      </c>
      <c r="AJ95" s="133">
        <f t="shared" si="124"/>
        <v>21666.666666666668</v>
      </c>
      <c r="AK95" s="134">
        <f>SUM(Y95:AJ95)</f>
        <v>259999.99999999997</v>
      </c>
    </row>
    <row r="96" spans="12:37">
      <c r="X96" s="126" t="s">
        <v>349</v>
      </c>
      <c r="Y96" s="133">
        <f t="shared" ref="Y96:AJ96" si="125">IF(Y94&gt;=Y95,Y95,Y94)</f>
        <v>0</v>
      </c>
      <c r="Z96" s="133">
        <f t="shared" si="125"/>
        <v>0</v>
      </c>
      <c r="AA96" s="133">
        <f t="shared" si="125"/>
        <v>0</v>
      </c>
      <c r="AB96" s="133">
        <f t="shared" si="125"/>
        <v>0</v>
      </c>
      <c r="AC96" s="133">
        <f t="shared" si="125"/>
        <v>0</v>
      </c>
      <c r="AD96" s="133">
        <f t="shared" si="125"/>
        <v>0</v>
      </c>
      <c r="AE96" s="133">
        <f t="shared" si="125"/>
        <v>0</v>
      </c>
      <c r="AF96" s="133">
        <f t="shared" si="125"/>
        <v>0</v>
      </c>
      <c r="AG96" s="133">
        <f t="shared" si="125"/>
        <v>0</v>
      </c>
      <c r="AH96" s="133">
        <f t="shared" si="125"/>
        <v>0</v>
      </c>
      <c r="AI96" s="133">
        <f t="shared" si="125"/>
        <v>0</v>
      </c>
      <c r="AJ96" s="133">
        <f t="shared" si="125"/>
        <v>0</v>
      </c>
      <c r="AK96" s="134">
        <f>SUM(Y96:AJ96)</f>
        <v>0</v>
      </c>
    </row>
    <row r="99" spans="24:37">
      <c r="X99" t="s">
        <v>266</v>
      </c>
    </row>
    <row r="100" spans="24:37">
      <c r="X100" s="194"/>
      <c r="Y100" s="194" t="s">
        <v>340</v>
      </c>
      <c r="Z100" s="194" t="s">
        <v>134</v>
      </c>
      <c r="AA100" s="194" t="s">
        <v>341</v>
      </c>
      <c r="AB100" s="194" t="s">
        <v>50</v>
      </c>
      <c r="AC100" s="194" t="s">
        <v>236</v>
      </c>
      <c r="AD100" s="194" t="s">
        <v>342</v>
      </c>
      <c r="AE100" s="194" t="s">
        <v>20</v>
      </c>
      <c r="AF100" s="194" t="s">
        <v>343</v>
      </c>
      <c r="AG100" s="194" t="s">
        <v>344</v>
      </c>
      <c r="AH100" s="194" t="s">
        <v>67</v>
      </c>
      <c r="AI100" s="194" t="s">
        <v>338</v>
      </c>
      <c r="AJ100" s="194" t="s">
        <v>339</v>
      </c>
    </row>
    <row r="101" spans="24:37">
      <c r="X101" s="35" t="s">
        <v>9</v>
      </c>
      <c r="Y101" s="133">
        <f t="shared" ref="Y101:AJ101" si="126">$H$43*$G$3*Y12/12</f>
        <v>0</v>
      </c>
      <c r="Z101" s="133">
        <f t="shared" si="126"/>
        <v>0</v>
      </c>
      <c r="AA101" s="133">
        <f t="shared" si="126"/>
        <v>0</v>
      </c>
      <c r="AB101" s="133">
        <f t="shared" si="126"/>
        <v>0</v>
      </c>
      <c r="AC101" s="133">
        <f t="shared" si="126"/>
        <v>0</v>
      </c>
      <c r="AD101" s="133">
        <f t="shared" si="126"/>
        <v>0</v>
      </c>
      <c r="AE101" s="133">
        <f t="shared" si="126"/>
        <v>0</v>
      </c>
      <c r="AF101" s="133">
        <f t="shared" si="126"/>
        <v>0</v>
      </c>
      <c r="AG101" s="133">
        <f t="shared" si="126"/>
        <v>0</v>
      </c>
      <c r="AH101" s="133">
        <f t="shared" si="126"/>
        <v>0</v>
      </c>
      <c r="AI101" s="133">
        <f t="shared" si="126"/>
        <v>0</v>
      </c>
      <c r="AJ101" s="133">
        <f t="shared" si="126"/>
        <v>0</v>
      </c>
      <c r="AK101" s="134">
        <f t="shared" ref="AK101:AK107" si="127">SUM(Y101:AJ101)</f>
        <v>0</v>
      </c>
    </row>
    <row r="102" spans="24:37">
      <c r="X102" s="35" t="s">
        <v>11</v>
      </c>
      <c r="Y102" s="133">
        <f t="shared" ref="Y102:AJ102" si="128">$H$43*$G$4*Y13/12</f>
        <v>0</v>
      </c>
      <c r="Z102" s="133">
        <f t="shared" si="128"/>
        <v>0</v>
      </c>
      <c r="AA102" s="133">
        <f t="shared" si="128"/>
        <v>0</v>
      </c>
      <c r="AB102" s="133">
        <f t="shared" si="128"/>
        <v>0</v>
      </c>
      <c r="AC102" s="133">
        <f t="shared" si="128"/>
        <v>0</v>
      </c>
      <c r="AD102" s="133">
        <f t="shared" si="128"/>
        <v>0</v>
      </c>
      <c r="AE102" s="133">
        <f t="shared" si="128"/>
        <v>0</v>
      </c>
      <c r="AF102" s="133">
        <f t="shared" si="128"/>
        <v>0</v>
      </c>
      <c r="AG102" s="133">
        <f t="shared" si="128"/>
        <v>0</v>
      </c>
      <c r="AH102" s="133">
        <f t="shared" si="128"/>
        <v>0</v>
      </c>
      <c r="AI102" s="133">
        <f t="shared" si="128"/>
        <v>0</v>
      </c>
      <c r="AJ102" s="133">
        <f t="shared" si="128"/>
        <v>0</v>
      </c>
      <c r="AK102" s="134">
        <f t="shared" si="127"/>
        <v>0</v>
      </c>
    </row>
    <row r="103" spans="24:37">
      <c r="X103" s="35" t="s">
        <v>12</v>
      </c>
      <c r="Y103" s="133">
        <f t="shared" ref="Y103:AJ103" si="129">$H$43*$G$5*Y14/12</f>
        <v>0</v>
      </c>
      <c r="Z103" s="133">
        <f t="shared" si="129"/>
        <v>0</v>
      </c>
      <c r="AA103" s="133">
        <f t="shared" si="129"/>
        <v>0</v>
      </c>
      <c r="AB103" s="133">
        <f t="shared" si="129"/>
        <v>0</v>
      </c>
      <c r="AC103" s="133">
        <f t="shared" si="129"/>
        <v>0</v>
      </c>
      <c r="AD103" s="133">
        <f t="shared" si="129"/>
        <v>0</v>
      </c>
      <c r="AE103" s="133">
        <f t="shared" si="129"/>
        <v>0</v>
      </c>
      <c r="AF103" s="133">
        <f t="shared" si="129"/>
        <v>0</v>
      </c>
      <c r="AG103" s="133">
        <f t="shared" si="129"/>
        <v>0</v>
      </c>
      <c r="AH103" s="133">
        <f t="shared" si="129"/>
        <v>0</v>
      </c>
      <c r="AI103" s="133">
        <f t="shared" si="129"/>
        <v>0</v>
      </c>
      <c r="AJ103" s="133">
        <f t="shared" si="129"/>
        <v>0</v>
      </c>
      <c r="AK103" s="134">
        <f t="shared" si="127"/>
        <v>0</v>
      </c>
    </row>
    <row r="104" spans="24:37">
      <c r="X104" s="35" t="s">
        <v>15</v>
      </c>
      <c r="Y104" s="133">
        <f t="shared" ref="Y104:AJ104" si="130">$H$43*$G$6*Y15/12</f>
        <v>0</v>
      </c>
      <c r="Z104" s="133">
        <f t="shared" si="130"/>
        <v>0</v>
      </c>
      <c r="AA104" s="133">
        <f t="shared" si="130"/>
        <v>0</v>
      </c>
      <c r="AB104" s="133">
        <f t="shared" si="130"/>
        <v>0</v>
      </c>
      <c r="AC104" s="133">
        <f t="shared" si="130"/>
        <v>0</v>
      </c>
      <c r="AD104" s="133">
        <f t="shared" si="130"/>
        <v>0</v>
      </c>
      <c r="AE104" s="133">
        <f t="shared" si="130"/>
        <v>0</v>
      </c>
      <c r="AF104" s="133">
        <f t="shared" si="130"/>
        <v>0</v>
      </c>
      <c r="AG104" s="133">
        <f t="shared" si="130"/>
        <v>0</v>
      </c>
      <c r="AH104" s="133">
        <f t="shared" si="130"/>
        <v>0</v>
      </c>
      <c r="AI104" s="133">
        <f t="shared" si="130"/>
        <v>0</v>
      </c>
      <c r="AJ104" s="133">
        <f t="shared" si="130"/>
        <v>0</v>
      </c>
      <c r="AK104" s="134">
        <f t="shared" si="127"/>
        <v>0</v>
      </c>
    </row>
    <row r="105" spans="24:37">
      <c r="X105" s="35" t="s">
        <v>10</v>
      </c>
      <c r="Y105" s="133">
        <f t="shared" ref="Y105:AJ105" si="131">$H$43*$G$7*Y17/12</f>
        <v>0</v>
      </c>
      <c r="Z105" s="133">
        <f t="shared" si="131"/>
        <v>0</v>
      </c>
      <c r="AA105" s="133">
        <f t="shared" si="131"/>
        <v>0</v>
      </c>
      <c r="AB105" s="133">
        <f t="shared" si="131"/>
        <v>0</v>
      </c>
      <c r="AC105" s="133">
        <f t="shared" si="131"/>
        <v>0</v>
      </c>
      <c r="AD105" s="133">
        <f t="shared" si="131"/>
        <v>0</v>
      </c>
      <c r="AE105" s="133">
        <f t="shared" si="131"/>
        <v>0</v>
      </c>
      <c r="AF105" s="133">
        <f t="shared" si="131"/>
        <v>0</v>
      </c>
      <c r="AG105" s="133">
        <f t="shared" si="131"/>
        <v>0</v>
      </c>
      <c r="AH105" s="133">
        <f t="shared" si="131"/>
        <v>0</v>
      </c>
      <c r="AI105" s="133">
        <f t="shared" si="131"/>
        <v>0</v>
      </c>
      <c r="AJ105" s="133">
        <f t="shared" si="131"/>
        <v>0</v>
      </c>
      <c r="AK105" s="134">
        <f t="shared" si="127"/>
        <v>0</v>
      </c>
    </row>
    <row r="106" spans="24:37">
      <c r="X106" s="35" t="s">
        <v>5</v>
      </c>
      <c r="Y106" s="133">
        <f t="shared" ref="Y106:AJ106" si="132">$H$43*$G$8*Y17/12</f>
        <v>0</v>
      </c>
      <c r="Z106" s="133">
        <f t="shared" si="132"/>
        <v>0</v>
      </c>
      <c r="AA106" s="133">
        <f t="shared" si="132"/>
        <v>0</v>
      </c>
      <c r="AB106" s="133">
        <f t="shared" si="132"/>
        <v>0</v>
      </c>
      <c r="AC106" s="133">
        <f t="shared" si="132"/>
        <v>0</v>
      </c>
      <c r="AD106" s="133">
        <f t="shared" si="132"/>
        <v>0</v>
      </c>
      <c r="AE106" s="133">
        <f t="shared" si="132"/>
        <v>0</v>
      </c>
      <c r="AF106" s="133">
        <f t="shared" si="132"/>
        <v>0</v>
      </c>
      <c r="AG106" s="133">
        <f t="shared" si="132"/>
        <v>0</v>
      </c>
      <c r="AH106" s="133">
        <f t="shared" si="132"/>
        <v>0</v>
      </c>
      <c r="AI106" s="133">
        <f t="shared" si="132"/>
        <v>0</v>
      </c>
      <c r="AJ106" s="133">
        <f t="shared" si="132"/>
        <v>0</v>
      </c>
      <c r="AK106" s="134">
        <f t="shared" si="127"/>
        <v>0</v>
      </c>
    </row>
    <row r="107" spans="24:37">
      <c r="X107" s="35" t="s">
        <v>347</v>
      </c>
      <c r="Y107" s="133">
        <f t="shared" ref="Y107:AJ107" si="133">SUM(Y101:Y106)</f>
        <v>0</v>
      </c>
      <c r="Z107" s="133">
        <f t="shared" si="133"/>
        <v>0</v>
      </c>
      <c r="AA107" s="133">
        <f t="shared" si="133"/>
        <v>0</v>
      </c>
      <c r="AB107" s="133">
        <f t="shared" si="133"/>
        <v>0</v>
      </c>
      <c r="AC107" s="133">
        <f t="shared" si="133"/>
        <v>0</v>
      </c>
      <c r="AD107" s="133">
        <f t="shared" si="133"/>
        <v>0</v>
      </c>
      <c r="AE107" s="133">
        <f t="shared" si="133"/>
        <v>0</v>
      </c>
      <c r="AF107" s="133">
        <f t="shared" si="133"/>
        <v>0</v>
      </c>
      <c r="AG107" s="133">
        <f t="shared" si="133"/>
        <v>0</v>
      </c>
      <c r="AH107" s="133">
        <f t="shared" si="133"/>
        <v>0</v>
      </c>
      <c r="AI107" s="133">
        <f t="shared" si="133"/>
        <v>0</v>
      </c>
      <c r="AJ107" s="133">
        <f t="shared" si="133"/>
        <v>0</v>
      </c>
      <c r="AK107" s="134">
        <f t="shared" si="127"/>
        <v>0</v>
      </c>
    </row>
    <row r="109" spans="24:37">
      <c r="X109" t="s">
        <v>330</v>
      </c>
    </row>
    <row r="110" spans="24:37">
      <c r="X110" s="194"/>
      <c r="Y110" s="194" t="s">
        <v>340</v>
      </c>
      <c r="Z110" s="194" t="s">
        <v>134</v>
      </c>
      <c r="AA110" s="194" t="s">
        <v>341</v>
      </c>
      <c r="AB110" s="194" t="s">
        <v>50</v>
      </c>
      <c r="AC110" s="194" t="s">
        <v>236</v>
      </c>
      <c r="AD110" s="194" t="s">
        <v>342</v>
      </c>
      <c r="AE110" s="194" t="s">
        <v>20</v>
      </c>
      <c r="AF110" s="194" t="s">
        <v>343</v>
      </c>
      <c r="AG110" s="194" t="s">
        <v>344</v>
      </c>
      <c r="AH110" s="194" t="s">
        <v>67</v>
      </c>
      <c r="AI110" s="194" t="s">
        <v>338</v>
      </c>
      <c r="AJ110" s="194" t="s">
        <v>339</v>
      </c>
    </row>
    <row r="111" spans="24:37">
      <c r="X111" s="35" t="s">
        <v>9</v>
      </c>
      <c r="Y111" s="133">
        <f t="shared" ref="Y111:AJ111" si="134">($I$43-($I$43*$G$25/10)-($I$43*$E$31/10))*Y12/12</f>
        <v>0</v>
      </c>
      <c r="Z111" s="133">
        <f t="shared" si="134"/>
        <v>0</v>
      </c>
      <c r="AA111" s="133">
        <f t="shared" si="134"/>
        <v>0</v>
      </c>
      <c r="AB111" s="133">
        <f t="shared" si="134"/>
        <v>0</v>
      </c>
      <c r="AC111" s="133">
        <f t="shared" si="134"/>
        <v>0</v>
      </c>
      <c r="AD111" s="133">
        <f t="shared" si="134"/>
        <v>0</v>
      </c>
      <c r="AE111" s="133">
        <f t="shared" si="134"/>
        <v>0</v>
      </c>
      <c r="AF111" s="133">
        <f t="shared" si="134"/>
        <v>0</v>
      </c>
      <c r="AG111" s="133">
        <f t="shared" si="134"/>
        <v>0</v>
      </c>
      <c r="AH111" s="133">
        <f t="shared" si="134"/>
        <v>0</v>
      </c>
      <c r="AI111" s="133">
        <f t="shared" si="134"/>
        <v>0</v>
      </c>
      <c r="AJ111" s="133">
        <f t="shared" si="134"/>
        <v>0</v>
      </c>
      <c r="AK111" s="134">
        <f t="shared" ref="AK111:AK117" si="135">SUM(Y111:AJ111)</f>
        <v>0</v>
      </c>
    </row>
    <row r="112" spans="24:37">
      <c r="X112" s="35" t="s">
        <v>11</v>
      </c>
      <c r="Y112" s="133">
        <f t="shared" ref="Y112:AJ112" si="136">($I$43-($I$43*$G$25/10)-($I$43*$E$32/10))*Y13/12</f>
        <v>0</v>
      </c>
      <c r="Z112" s="133">
        <f t="shared" si="136"/>
        <v>0</v>
      </c>
      <c r="AA112" s="133">
        <f t="shared" si="136"/>
        <v>0</v>
      </c>
      <c r="AB112" s="133">
        <f t="shared" si="136"/>
        <v>0</v>
      </c>
      <c r="AC112" s="133">
        <f t="shared" si="136"/>
        <v>0</v>
      </c>
      <c r="AD112" s="133">
        <f t="shared" si="136"/>
        <v>0</v>
      </c>
      <c r="AE112" s="133">
        <f t="shared" si="136"/>
        <v>0</v>
      </c>
      <c r="AF112" s="133">
        <f t="shared" si="136"/>
        <v>0</v>
      </c>
      <c r="AG112" s="133">
        <f t="shared" si="136"/>
        <v>0</v>
      </c>
      <c r="AH112" s="133">
        <f t="shared" si="136"/>
        <v>0</v>
      </c>
      <c r="AI112" s="133">
        <f t="shared" si="136"/>
        <v>0</v>
      </c>
      <c r="AJ112" s="133">
        <f t="shared" si="136"/>
        <v>0</v>
      </c>
      <c r="AK112" s="134">
        <f t="shared" si="135"/>
        <v>0</v>
      </c>
    </row>
    <row r="113" spans="24:37">
      <c r="X113" s="35" t="s">
        <v>12</v>
      </c>
      <c r="Y113" s="133">
        <f t="shared" ref="Y113:AJ113" si="137">($I$43-($I$43*$G$25/10)-($I$43*$E$33/10))*Y14/12</f>
        <v>0</v>
      </c>
      <c r="Z113" s="133">
        <f t="shared" si="137"/>
        <v>0</v>
      </c>
      <c r="AA113" s="133">
        <f t="shared" si="137"/>
        <v>0</v>
      </c>
      <c r="AB113" s="133">
        <f t="shared" si="137"/>
        <v>0</v>
      </c>
      <c r="AC113" s="133">
        <f t="shared" si="137"/>
        <v>0</v>
      </c>
      <c r="AD113" s="133">
        <f t="shared" si="137"/>
        <v>0</v>
      </c>
      <c r="AE113" s="133">
        <f t="shared" si="137"/>
        <v>0</v>
      </c>
      <c r="AF113" s="133">
        <f t="shared" si="137"/>
        <v>0</v>
      </c>
      <c r="AG113" s="133">
        <f t="shared" si="137"/>
        <v>0</v>
      </c>
      <c r="AH113" s="133">
        <f t="shared" si="137"/>
        <v>0</v>
      </c>
      <c r="AI113" s="133">
        <f t="shared" si="137"/>
        <v>0</v>
      </c>
      <c r="AJ113" s="133">
        <f t="shared" si="137"/>
        <v>0</v>
      </c>
      <c r="AK113" s="134">
        <f t="shared" si="135"/>
        <v>0</v>
      </c>
    </row>
    <row r="114" spans="24:37">
      <c r="X114" s="35" t="s">
        <v>15</v>
      </c>
      <c r="Y114" s="133">
        <f t="shared" ref="Y114:AJ114" si="138">($I$43-($I$43*$G$25/10)-($I$43*$E$34/10))*Y15/12</f>
        <v>0</v>
      </c>
      <c r="Z114" s="133">
        <f t="shared" si="138"/>
        <v>0</v>
      </c>
      <c r="AA114" s="133">
        <f t="shared" si="138"/>
        <v>0</v>
      </c>
      <c r="AB114" s="133">
        <f t="shared" si="138"/>
        <v>0</v>
      </c>
      <c r="AC114" s="133">
        <f t="shared" si="138"/>
        <v>0</v>
      </c>
      <c r="AD114" s="133">
        <f t="shared" si="138"/>
        <v>0</v>
      </c>
      <c r="AE114" s="133">
        <f t="shared" si="138"/>
        <v>0</v>
      </c>
      <c r="AF114" s="133">
        <f t="shared" si="138"/>
        <v>0</v>
      </c>
      <c r="AG114" s="133">
        <f t="shared" si="138"/>
        <v>0</v>
      </c>
      <c r="AH114" s="133">
        <f t="shared" si="138"/>
        <v>0</v>
      </c>
      <c r="AI114" s="133">
        <f t="shared" si="138"/>
        <v>0</v>
      </c>
      <c r="AJ114" s="133">
        <f t="shared" si="138"/>
        <v>0</v>
      </c>
      <c r="AK114" s="134">
        <f t="shared" si="135"/>
        <v>0</v>
      </c>
    </row>
    <row r="115" spans="24:37">
      <c r="X115" s="35" t="s">
        <v>10</v>
      </c>
      <c r="Y115" s="133">
        <f t="shared" ref="Y115:AJ115" si="139">($I$43-($I$43*$G$25/10)-($I$43*$E$35/10))*Y16/12</f>
        <v>0</v>
      </c>
      <c r="Z115" s="133">
        <f t="shared" si="139"/>
        <v>0</v>
      </c>
      <c r="AA115" s="133">
        <f t="shared" si="139"/>
        <v>0</v>
      </c>
      <c r="AB115" s="133">
        <f t="shared" si="139"/>
        <v>0</v>
      </c>
      <c r="AC115" s="133">
        <f t="shared" si="139"/>
        <v>0</v>
      </c>
      <c r="AD115" s="133">
        <f t="shared" si="139"/>
        <v>0</v>
      </c>
      <c r="AE115" s="133">
        <f t="shared" si="139"/>
        <v>0</v>
      </c>
      <c r="AF115" s="133">
        <f t="shared" si="139"/>
        <v>0</v>
      </c>
      <c r="AG115" s="133">
        <f t="shared" si="139"/>
        <v>0</v>
      </c>
      <c r="AH115" s="133">
        <f t="shared" si="139"/>
        <v>0</v>
      </c>
      <c r="AI115" s="133">
        <f t="shared" si="139"/>
        <v>0</v>
      </c>
      <c r="AJ115" s="133">
        <f t="shared" si="139"/>
        <v>0</v>
      </c>
      <c r="AK115" s="134">
        <f t="shared" si="135"/>
        <v>0</v>
      </c>
    </row>
    <row r="116" spans="24:37">
      <c r="X116" s="35" t="s">
        <v>5</v>
      </c>
      <c r="Y116" s="133">
        <f t="shared" ref="Y116:AJ116" si="140">($I$43-($I$43*$G$25/10)-($I$43*$E$36/10))*Y17/12</f>
        <v>0</v>
      </c>
      <c r="Z116" s="133">
        <f t="shared" si="140"/>
        <v>0</v>
      </c>
      <c r="AA116" s="133">
        <f t="shared" si="140"/>
        <v>0</v>
      </c>
      <c r="AB116" s="133">
        <f t="shared" si="140"/>
        <v>0</v>
      </c>
      <c r="AC116" s="133">
        <f t="shared" si="140"/>
        <v>0</v>
      </c>
      <c r="AD116" s="133">
        <f t="shared" si="140"/>
        <v>0</v>
      </c>
      <c r="AE116" s="133">
        <f t="shared" si="140"/>
        <v>0</v>
      </c>
      <c r="AF116" s="133">
        <f t="shared" si="140"/>
        <v>0</v>
      </c>
      <c r="AG116" s="133">
        <f t="shared" si="140"/>
        <v>0</v>
      </c>
      <c r="AH116" s="133">
        <f t="shared" si="140"/>
        <v>0</v>
      </c>
      <c r="AI116" s="133">
        <f t="shared" si="140"/>
        <v>0</v>
      </c>
      <c r="AJ116" s="133">
        <f t="shared" si="140"/>
        <v>0</v>
      </c>
      <c r="AK116" s="134">
        <f t="shared" si="135"/>
        <v>0</v>
      </c>
    </row>
    <row r="117" spans="24:37">
      <c r="X117" s="35" t="s">
        <v>347</v>
      </c>
      <c r="Y117" s="133">
        <f t="shared" ref="Y117:AJ117" si="141">SUM(Y111:Y116)</f>
        <v>0</v>
      </c>
      <c r="Z117" s="133">
        <f t="shared" si="141"/>
        <v>0</v>
      </c>
      <c r="AA117" s="133">
        <f t="shared" si="141"/>
        <v>0</v>
      </c>
      <c r="AB117" s="133">
        <f t="shared" si="141"/>
        <v>0</v>
      </c>
      <c r="AC117" s="133">
        <f t="shared" si="141"/>
        <v>0</v>
      </c>
      <c r="AD117" s="133">
        <f t="shared" si="141"/>
        <v>0</v>
      </c>
      <c r="AE117" s="133">
        <f t="shared" si="141"/>
        <v>0</v>
      </c>
      <c r="AF117" s="133">
        <f t="shared" si="141"/>
        <v>0</v>
      </c>
      <c r="AG117" s="133">
        <f t="shared" si="141"/>
        <v>0</v>
      </c>
      <c r="AH117" s="133">
        <f t="shared" si="141"/>
        <v>0</v>
      </c>
      <c r="AI117" s="133">
        <f t="shared" si="141"/>
        <v>0</v>
      </c>
      <c r="AJ117" s="133">
        <f t="shared" si="141"/>
        <v>0</v>
      </c>
      <c r="AK117" s="134">
        <f t="shared" si="135"/>
        <v>0</v>
      </c>
    </row>
    <row r="119" spans="24:37">
      <c r="X119" t="s">
        <v>57</v>
      </c>
    </row>
    <row r="120" spans="24:37">
      <c r="X120" s="194"/>
      <c r="Y120" s="194" t="s">
        <v>340</v>
      </c>
      <c r="Z120" s="194" t="s">
        <v>134</v>
      </c>
      <c r="AA120" s="194" t="s">
        <v>341</v>
      </c>
      <c r="AB120" s="194" t="s">
        <v>50</v>
      </c>
      <c r="AC120" s="194" t="s">
        <v>236</v>
      </c>
      <c r="AD120" s="194" t="s">
        <v>342</v>
      </c>
      <c r="AE120" s="194" t="s">
        <v>20</v>
      </c>
      <c r="AF120" s="194" t="s">
        <v>343</v>
      </c>
      <c r="AG120" s="194" t="s">
        <v>344</v>
      </c>
      <c r="AH120" s="194" t="s">
        <v>67</v>
      </c>
      <c r="AI120" s="194" t="s">
        <v>338</v>
      </c>
      <c r="AJ120" s="194" t="s">
        <v>339</v>
      </c>
    </row>
    <row r="121" spans="24:37">
      <c r="X121" s="35" t="s">
        <v>347</v>
      </c>
      <c r="Y121" s="133">
        <f t="shared" ref="Y121:AJ121" si="142">IF(Y18&gt;0,($J$43-($J$43*$G$25/10))/12,0)</f>
        <v>0</v>
      </c>
      <c r="Z121" s="133">
        <f t="shared" si="142"/>
        <v>0</v>
      </c>
      <c r="AA121" s="133">
        <f t="shared" si="142"/>
        <v>0</v>
      </c>
      <c r="AB121" s="133">
        <f t="shared" si="142"/>
        <v>0</v>
      </c>
      <c r="AC121" s="133">
        <f t="shared" si="142"/>
        <v>0</v>
      </c>
      <c r="AD121" s="133">
        <f t="shared" si="142"/>
        <v>0</v>
      </c>
      <c r="AE121" s="133">
        <f t="shared" si="142"/>
        <v>0</v>
      </c>
      <c r="AF121" s="133">
        <f t="shared" si="142"/>
        <v>0</v>
      </c>
      <c r="AG121" s="133">
        <f t="shared" si="142"/>
        <v>0</v>
      </c>
      <c r="AH121" s="133">
        <f t="shared" si="142"/>
        <v>0</v>
      </c>
      <c r="AI121" s="133">
        <f t="shared" si="142"/>
        <v>0</v>
      </c>
      <c r="AJ121" s="133">
        <f t="shared" si="142"/>
        <v>0</v>
      </c>
      <c r="AK121" s="134">
        <f>SUM(Y121:AJ121)</f>
        <v>0</v>
      </c>
    </row>
    <row r="123" spans="24:37">
      <c r="X123" s="126" t="s">
        <v>350</v>
      </c>
      <c r="Y123" s="133">
        <f t="shared" ref="Y123:AJ123" si="143">Y107+Y117+Y121</f>
        <v>0</v>
      </c>
      <c r="Z123" s="133">
        <f t="shared" si="143"/>
        <v>0</v>
      </c>
      <c r="AA123" s="133">
        <f t="shared" si="143"/>
        <v>0</v>
      </c>
      <c r="AB123" s="133">
        <f t="shared" si="143"/>
        <v>0</v>
      </c>
      <c r="AC123" s="133">
        <f t="shared" si="143"/>
        <v>0</v>
      </c>
      <c r="AD123" s="133">
        <f t="shared" si="143"/>
        <v>0</v>
      </c>
      <c r="AE123" s="133">
        <f t="shared" si="143"/>
        <v>0</v>
      </c>
      <c r="AF123" s="133">
        <f t="shared" si="143"/>
        <v>0</v>
      </c>
      <c r="AG123" s="133">
        <f t="shared" si="143"/>
        <v>0</v>
      </c>
      <c r="AH123" s="133">
        <f t="shared" si="143"/>
        <v>0</v>
      </c>
      <c r="AI123" s="133">
        <f t="shared" si="143"/>
        <v>0</v>
      </c>
      <c r="AJ123" s="133">
        <f t="shared" si="143"/>
        <v>0</v>
      </c>
      <c r="AK123" s="134">
        <f>SUM(Y123:AJ123)</f>
        <v>0</v>
      </c>
    </row>
    <row r="124" spans="24:37">
      <c r="X124" s="126" t="s">
        <v>58</v>
      </c>
      <c r="Y124" s="133">
        <f t="shared" ref="Y124:AJ124" si="144">$E$51/12</f>
        <v>21666.666666666668</v>
      </c>
      <c r="Z124" s="133">
        <f t="shared" si="144"/>
        <v>21666.666666666668</v>
      </c>
      <c r="AA124" s="133">
        <f t="shared" si="144"/>
        <v>21666.666666666668</v>
      </c>
      <c r="AB124" s="133">
        <f t="shared" si="144"/>
        <v>21666.666666666668</v>
      </c>
      <c r="AC124" s="133">
        <f t="shared" si="144"/>
        <v>21666.666666666668</v>
      </c>
      <c r="AD124" s="133">
        <f t="shared" si="144"/>
        <v>21666.666666666668</v>
      </c>
      <c r="AE124" s="133">
        <f t="shared" si="144"/>
        <v>21666.666666666668</v>
      </c>
      <c r="AF124" s="133">
        <f t="shared" si="144"/>
        <v>21666.666666666668</v>
      </c>
      <c r="AG124" s="133">
        <f t="shared" si="144"/>
        <v>21666.666666666668</v>
      </c>
      <c r="AH124" s="133">
        <f t="shared" si="144"/>
        <v>21666.666666666668</v>
      </c>
      <c r="AI124" s="133">
        <f t="shared" si="144"/>
        <v>21666.666666666668</v>
      </c>
      <c r="AJ124" s="133">
        <f t="shared" si="144"/>
        <v>21666.666666666668</v>
      </c>
      <c r="AK124" s="134">
        <f>SUM(Y124:AJ124)</f>
        <v>259999.99999999997</v>
      </c>
    </row>
    <row r="125" spans="24:37">
      <c r="X125" s="126" t="s">
        <v>349</v>
      </c>
      <c r="Y125" s="133">
        <f t="shared" ref="Y125:AJ125" si="145">IF(Y123&gt;=Y124,Y124,Y123)</f>
        <v>0</v>
      </c>
      <c r="Z125" s="133">
        <f t="shared" si="145"/>
        <v>0</v>
      </c>
      <c r="AA125" s="133">
        <f t="shared" si="145"/>
        <v>0</v>
      </c>
      <c r="AB125" s="133">
        <f t="shared" si="145"/>
        <v>0</v>
      </c>
      <c r="AC125" s="133">
        <f t="shared" si="145"/>
        <v>0</v>
      </c>
      <c r="AD125" s="133">
        <f t="shared" si="145"/>
        <v>0</v>
      </c>
      <c r="AE125" s="133">
        <f t="shared" si="145"/>
        <v>0</v>
      </c>
      <c r="AF125" s="133">
        <f t="shared" si="145"/>
        <v>0</v>
      </c>
      <c r="AG125" s="133">
        <f t="shared" si="145"/>
        <v>0</v>
      </c>
      <c r="AH125" s="133">
        <f t="shared" si="145"/>
        <v>0</v>
      </c>
      <c r="AI125" s="133">
        <f t="shared" si="145"/>
        <v>0</v>
      </c>
      <c r="AJ125" s="133">
        <f t="shared" si="145"/>
        <v>0</v>
      </c>
      <c r="AK125" s="134">
        <f>SUM(Y125:AJ125)</f>
        <v>0</v>
      </c>
    </row>
    <row r="127" spans="24:37">
      <c r="X127" t="s">
        <v>364</v>
      </c>
    </row>
    <row r="128" spans="24:37">
      <c r="X128" s="126"/>
      <c r="Y128" s="196" t="str">
        <f>I1</f>
        <v>令和7年4月</v>
      </c>
      <c r="Z128" s="196" t="str">
        <f>I2</f>
        <v>令和7年5月</v>
      </c>
      <c r="AA128" s="196" t="str">
        <f>I3</f>
        <v>令和7年6月</v>
      </c>
      <c r="AB128" s="196" t="str">
        <f>I4</f>
        <v>令和7年7月</v>
      </c>
      <c r="AC128" s="196" t="str">
        <f>I5</f>
        <v>令和7年8月</v>
      </c>
      <c r="AD128" s="196" t="str">
        <f>I6</f>
        <v>令和7年9月</v>
      </c>
      <c r="AE128" s="196" t="str">
        <f>I7</f>
        <v>令和7年10月</v>
      </c>
      <c r="AF128" s="196" t="str">
        <f>I8</f>
        <v>令和7年11月</v>
      </c>
      <c r="AG128" s="196" t="str">
        <f>I9</f>
        <v>令和7年12月</v>
      </c>
      <c r="AH128" s="196" t="str">
        <f>I10</f>
        <v>令和8年1月</v>
      </c>
      <c r="AI128" s="196" t="str">
        <f>I11</f>
        <v>令和8年2月</v>
      </c>
      <c r="AJ128" s="196" t="str">
        <f>I12</f>
        <v>令和8年3月</v>
      </c>
    </row>
    <row r="129" spans="24:36">
      <c r="X129" s="126" t="s">
        <v>35</v>
      </c>
      <c r="Y129" s="133">
        <f>SUM(Y67:AJ67)</f>
        <v>0</v>
      </c>
      <c r="Z129" s="133">
        <f>SUM(Z67:AJ67)</f>
        <v>0</v>
      </c>
      <c r="AA129" s="133">
        <f>SUM(AA67:AJ67)</f>
        <v>0</v>
      </c>
      <c r="AB129" s="133">
        <f>SUM(AB67:AJ67)</f>
        <v>0</v>
      </c>
      <c r="AC129" s="133">
        <f>SUM(AC67:AJ67)</f>
        <v>0</v>
      </c>
      <c r="AD129" s="133">
        <f>SUM(AD67:AJ67)</f>
        <v>0</v>
      </c>
      <c r="AE129" s="133">
        <f>SUM(AE67:AJ67)</f>
        <v>0</v>
      </c>
      <c r="AF129" s="133">
        <f>SUM(AF67:AJ67)</f>
        <v>0</v>
      </c>
      <c r="AG129" s="133">
        <f>SUM(AG67:AJ67)</f>
        <v>0</v>
      </c>
      <c r="AH129" s="133">
        <f>SUM(AH67:AJ67)</f>
        <v>0</v>
      </c>
      <c r="AI129" s="133">
        <f>SUM(AI67:AJ67)</f>
        <v>0</v>
      </c>
      <c r="AJ129" s="133">
        <f>SUM(AJ67)</f>
        <v>0</v>
      </c>
    </row>
    <row r="130" spans="24:36">
      <c r="X130" s="126" t="s">
        <v>246</v>
      </c>
      <c r="Y130" s="133">
        <f>SUM(Y96:AJ96)</f>
        <v>0</v>
      </c>
      <c r="Z130" s="133">
        <f>SUM(Z96:AJ96)</f>
        <v>0</v>
      </c>
      <c r="AA130" s="133">
        <f>SUM(AA96:AJ96)</f>
        <v>0</v>
      </c>
      <c r="AB130" s="133">
        <f>SUM(AB96:AJ96)</f>
        <v>0</v>
      </c>
      <c r="AC130" s="133">
        <f>SUM(AC96:AJ96)</f>
        <v>0</v>
      </c>
      <c r="AD130" s="133">
        <f>SUM(AD96:AJ96)</f>
        <v>0</v>
      </c>
      <c r="AE130" s="133">
        <f>SUM(AE96:AJ96)</f>
        <v>0</v>
      </c>
      <c r="AF130" s="133">
        <f>SUM(AF96:AJ96)</f>
        <v>0</v>
      </c>
      <c r="AG130" s="133">
        <f>SUM(AG96:AJ96)</f>
        <v>0</v>
      </c>
      <c r="AH130" s="133">
        <f>SUM(AH96:AJ96)</f>
        <v>0</v>
      </c>
      <c r="AI130" s="133">
        <f>SUM(AI96:AJ96)</f>
        <v>0</v>
      </c>
      <c r="AJ130" s="133">
        <f>SUM(AJ96)</f>
        <v>0</v>
      </c>
    </row>
    <row r="131" spans="24:36">
      <c r="X131" s="126" t="s">
        <v>43</v>
      </c>
      <c r="Y131" s="133">
        <f>SUM(Y125:AJ125)</f>
        <v>0</v>
      </c>
      <c r="Z131" s="133">
        <f>SUM(Z125:AJ125)</f>
        <v>0</v>
      </c>
      <c r="AA131" s="133">
        <f>SUM(AA125:AJ125)</f>
        <v>0</v>
      </c>
      <c r="AB131" s="133">
        <f>SUM(AB125:AJ125)</f>
        <v>0</v>
      </c>
      <c r="AC131" s="133">
        <f>SUM(AC125:AJ125)</f>
        <v>0</v>
      </c>
      <c r="AD131" s="133">
        <f>SUM(AD125:AJ125)</f>
        <v>0</v>
      </c>
      <c r="AE131" s="133">
        <f>SUM(AE125:AJ125)</f>
        <v>0</v>
      </c>
      <c r="AF131" s="133">
        <f>SUM(AF125:AJ125)</f>
        <v>0</v>
      </c>
      <c r="AG131" s="133">
        <f>SUM(AG125:AJ125)</f>
        <v>0</v>
      </c>
      <c r="AH131" s="133">
        <f>SUM(AH125:AJ125)</f>
        <v>0</v>
      </c>
      <c r="AI131" s="133">
        <f>SUM(AI125:AJ125)</f>
        <v>0</v>
      </c>
      <c r="AJ131" s="133">
        <f>SUM(AJ125)</f>
        <v>0</v>
      </c>
    </row>
    <row r="132" spans="24:36">
      <c r="X132" s="195" t="s">
        <v>347</v>
      </c>
      <c r="Y132" s="197">
        <f t="shared" ref="Y132:AJ132" si="146">ROUNDDOWN(Y129,-2)+ROUNDDOWN(Y130,-2)+ROUNDDOWN(Y131,-2)</f>
        <v>0</v>
      </c>
      <c r="Z132" s="197">
        <f t="shared" si="146"/>
        <v>0</v>
      </c>
      <c r="AA132" s="197">
        <f t="shared" si="146"/>
        <v>0</v>
      </c>
      <c r="AB132" s="197">
        <f t="shared" si="146"/>
        <v>0</v>
      </c>
      <c r="AC132" s="197">
        <f t="shared" si="146"/>
        <v>0</v>
      </c>
      <c r="AD132" s="197">
        <f t="shared" si="146"/>
        <v>0</v>
      </c>
      <c r="AE132" s="197">
        <f t="shared" si="146"/>
        <v>0</v>
      </c>
      <c r="AF132" s="197">
        <f t="shared" si="146"/>
        <v>0</v>
      </c>
      <c r="AG132" s="197">
        <f t="shared" si="146"/>
        <v>0</v>
      </c>
      <c r="AH132" s="197">
        <f t="shared" si="146"/>
        <v>0</v>
      </c>
      <c r="AI132" s="197">
        <f t="shared" si="146"/>
        <v>0</v>
      </c>
      <c r="AJ132" s="197">
        <f t="shared" si="146"/>
        <v>0</v>
      </c>
    </row>
  </sheetData>
  <mergeCells count="57">
    <mergeCell ref="P1:U1"/>
    <mergeCell ref="P20:U20"/>
    <mergeCell ref="P38:U38"/>
    <mergeCell ref="B41:D41"/>
    <mergeCell ref="E41:G41"/>
    <mergeCell ref="H41:J41"/>
    <mergeCell ref="B51:D51"/>
    <mergeCell ref="E51:G51"/>
    <mergeCell ref="H51:J51"/>
    <mergeCell ref="B52:D52"/>
    <mergeCell ref="E52:G52"/>
    <mergeCell ref="H52:J52"/>
    <mergeCell ref="P56:U56"/>
    <mergeCell ref="L80:O80"/>
    <mergeCell ref="L81:O81"/>
    <mergeCell ref="L82:O82"/>
    <mergeCell ref="L83:O83"/>
    <mergeCell ref="A1:A2"/>
    <mergeCell ref="B1:B2"/>
    <mergeCell ref="C1:C2"/>
    <mergeCell ref="D1:D2"/>
    <mergeCell ref="E1:E2"/>
    <mergeCell ref="F1:F2"/>
    <mergeCell ref="G1:G2"/>
    <mergeCell ref="M1:O3"/>
    <mergeCell ref="A11:A12"/>
    <mergeCell ref="B11:B12"/>
    <mergeCell ref="C11:C12"/>
    <mergeCell ref="D11:D12"/>
    <mergeCell ref="E11:E12"/>
    <mergeCell ref="L20:O23"/>
    <mergeCell ref="A21:A22"/>
    <mergeCell ref="B21:B22"/>
    <mergeCell ref="C21:C22"/>
    <mergeCell ref="D21:D22"/>
    <mergeCell ref="B23:B25"/>
    <mergeCell ref="C23:C25"/>
    <mergeCell ref="L24:L28"/>
    <mergeCell ref="A29:A30"/>
    <mergeCell ref="B29:B30"/>
    <mergeCell ref="C29:C30"/>
    <mergeCell ref="D29:D30"/>
    <mergeCell ref="E29:E30"/>
    <mergeCell ref="L29:L33"/>
    <mergeCell ref="C31:C36"/>
    <mergeCell ref="L38:O41"/>
    <mergeCell ref="A41:A43"/>
    <mergeCell ref="L42:L46"/>
    <mergeCell ref="D44:D49"/>
    <mergeCell ref="G44:G49"/>
    <mergeCell ref="J44:J49"/>
    <mergeCell ref="L47:L51"/>
    <mergeCell ref="A55:A56"/>
    <mergeCell ref="B55:C56"/>
    <mergeCell ref="L56:O59"/>
    <mergeCell ref="L60:L64"/>
    <mergeCell ref="L65:L69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入力・結果表示シート</vt:lpstr>
      <vt:lpstr>計算シート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　賢二</dc:creator>
  <cp:lastModifiedBy>苧毛 雄佑</cp:lastModifiedBy>
  <dcterms:created xsi:type="dcterms:W3CDTF">2022-04-22T01:35:12Z</dcterms:created>
  <dcterms:modified xsi:type="dcterms:W3CDTF">2025-05-19T07:55:31Z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2025-05-19T07:55:31Z</vt:filetime>
  </property>
</Properties>
</file>